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TRES BRUJAS ENERO 24\"/>
    </mc:Choice>
  </mc:AlternateContent>
  <xr:revisionPtr revIDLastSave="0" documentId="13_ncr:1_{22352B5A-B385-435A-91FA-6D545125E98B}" xr6:coauthVersionLast="47" xr6:coauthVersionMax="47" xr10:uidLastSave="{00000000-0000-0000-0000-000000000000}"/>
  <bookViews>
    <workbookView xWindow="-120" yWindow="-120" windowWidth="20730" windowHeight="11310" tabRatio="898" xr2:uid="{00000000-000D-0000-FFFF-FFFF00000000}"/>
  </bookViews>
  <sheets>
    <sheet name="TODOS LOS PROVEEDORES-GENERAL" sheetId="35" r:id="rId1"/>
  </sheets>
  <definedNames>
    <definedName name="_xlnm._FilterDatabase" localSheetId="0" hidden="1">'TODOS LOS PROVEEDORES-GENERAL'!$A$1:$T$684</definedName>
    <definedName name="_xlnm.Print_Area" localSheetId="0">'TODOS LOS PROVEEDORES-GENERAL'!$A$1:$D$681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5" i="35" l="1"/>
  <c r="H511" i="35"/>
  <c r="F511" i="35"/>
  <c r="H5" i="35"/>
  <c r="H6" i="35"/>
  <c r="H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65" i="35"/>
  <c r="H66" i="35"/>
  <c r="H67" i="35"/>
  <c r="H68" i="35"/>
  <c r="H69" i="35"/>
  <c r="H70" i="35"/>
  <c r="H71" i="35"/>
  <c r="H72" i="35"/>
  <c r="H73" i="35"/>
  <c r="H74" i="35"/>
  <c r="H75" i="35"/>
  <c r="H76" i="35"/>
  <c r="H77" i="35"/>
  <c r="H78" i="35"/>
  <c r="H79" i="35"/>
  <c r="H80" i="35"/>
  <c r="H81" i="35"/>
  <c r="H82" i="35"/>
  <c r="H83" i="35"/>
  <c r="H84" i="35"/>
  <c r="H85" i="35"/>
  <c r="H86" i="35"/>
  <c r="H87" i="35"/>
  <c r="H88" i="35"/>
  <c r="H89" i="35"/>
  <c r="H90" i="35"/>
  <c r="H91" i="35"/>
  <c r="H92" i="35"/>
  <c r="H93" i="35"/>
  <c r="H94" i="35"/>
  <c r="H95" i="35"/>
  <c r="H96" i="35"/>
  <c r="H97" i="35"/>
  <c r="H98" i="35"/>
  <c r="H99" i="35"/>
  <c r="H100" i="35"/>
  <c r="H101" i="35"/>
  <c r="H102" i="35"/>
  <c r="H103" i="35"/>
  <c r="H104" i="35"/>
  <c r="H105" i="35"/>
  <c r="H106" i="35"/>
  <c r="H107" i="35"/>
  <c r="H108" i="35"/>
  <c r="H109" i="35"/>
  <c r="H110" i="35"/>
  <c r="H111" i="35"/>
  <c r="H112" i="35"/>
  <c r="H113" i="35"/>
  <c r="H114" i="35"/>
  <c r="H115" i="35"/>
  <c r="H116" i="35"/>
  <c r="H117" i="35"/>
  <c r="H118" i="35"/>
  <c r="H119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6" i="35"/>
  <c r="H137" i="35"/>
  <c r="H138" i="35"/>
  <c r="H139" i="35"/>
  <c r="H140" i="35"/>
  <c r="H141" i="35"/>
  <c r="H142" i="35"/>
  <c r="H143" i="35"/>
  <c r="H144" i="35"/>
  <c r="H145" i="35"/>
  <c r="H146" i="35"/>
  <c r="H147" i="35"/>
  <c r="H148" i="35"/>
  <c r="H149" i="35"/>
  <c r="H150" i="35"/>
  <c r="H151" i="35"/>
  <c r="H152" i="35"/>
  <c r="H153" i="35"/>
  <c r="H154" i="35"/>
  <c r="H155" i="35"/>
  <c r="H156" i="35"/>
  <c r="H157" i="35"/>
  <c r="H158" i="35"/>
  <c r="H159" i="35"/>
  <c r="H160" i="35"/>
  <c r="H161" i="35"/>
  <c r="H162" i="35"/>
  <c r="H163" i="35"/>
  <c r="H164" i="35"/>
  <c r="H165" i="35"/>
  <c r="H166" i="35"/>
  <c r="H167" i="35"/>
  <c r="H168" i="35"/>
  <c r="H169" i="35"/>
  <c r="H170" i="35"/>
  <c r="H171" i="35"/>
  <c r="H172" i="35"/>
  <c r="H173" i="35"/>
  <c r="H174" i="35"/>
  <c r="H175" i="35"/>
  <c r="H176" i="35"/>
  <c r="H177" i="35"/>
  <c r="H178" i="35"/>
  <c r="H179" i="35"/>
  <c r="H180" i="35"/>
  <c r="H181" i="35"/>
  <c r="H182" i="35"/>
  <c r="H183" i="35"/>
  <c r="H184" i="35"/>
  <c r="H185" i="35"/>
  <c r="H186" i="35"/>
  <c r="H187" i="35"/>
  <c r="H188" i="35"/>
  <c r="H189" i="35"/>
  <c r="H190" i="35"/>
  <c r="H191" i="35"/>
  <c r="H192" i="35"/>
  <c r="H193" i="35"/>
  <c r="H194" i="35"/>
  <c r="H195" i="35"/>
  <c r="H196" i="35"/>
  <c r="H197" i="35"/>
  <c r="H198" i="35"/>
  <c r="H199" i="35"/>
  <c r="H200" i="35"/>
  <c r="H201" i="35"/>
  <c r="H202" i="35"/>
  <c r="H203" i="35"/>
  <c r="H204" i="35"/>
  <c r="H205" i="35"/>
  <c r="H206" i="35"/>
  <c r="H207" i="35"/>
  <c r="H208" i="35"/>
  <c r="H209" i="35"/>
  <c r="H210" i="35"/>
  <c r="H211" i="35"/>
  <c r="H212" i="35"/>
  <c r="H213" i="35"/>
  <c r="H214" i="35"/>
  <c r="H215" i="35"/>
  <c r="H216" i="35"/>
  <c r="H217" i="35"/>
  <c r="H218" i="35"/>
  <c r="H219" i="35"/>
  <c r="H220" i="35"/>
  <c r="H221" i="35"/>
  <c r="H222" i="35"/>
  <c r="H223" i="35"/>
  <c r="H224" i="35"/>
  <c r="H225" i="35"/>
  <c r="H226" i="35"/>
  <c r="H227" i="35"/>
  <c r="H228" i="35"/>
  <c r="H229" i="35"/>
  <c r="H230" i="35"/>
  <c r="H231" i="35"/>
  <c r="H232" i="35"/>
  <c r="H233" i="35"/>
  <c r="H234" i="35"/>
  <c r="H235" i="35"/>
  <c r="H236" i="35"/>
  <c r="H237" i="35"/>
  <c r="H238" i="35"/>
  <c r="H239" i="35"/>
  <c r="H240" i="35"/>
  <c r="H241" i="35"/>
  <c r="H242" i="35"/>
  <c r="H243" i="35"/>
  <c r="H244" i="35"/>
  <c r="H245" i="35"/>
  <c r="H246" i="35"/>
  <c r="H247" i="35"/>
  <c r="H248" i="35"/>
  <c r="H249" i="35"/>
  <c r="H250" i="35"/>
  <c r="H251" i="35"/>
  <c r="H252" i="35"/>
  <c r="H253" i="35"/>
  <c r="H254" i="35"/>
  <c r="H255" i="35"/>
  <c r="H256" i="35"/>
  <c r="H257" i="35"/>
  <c r="H258" i="35"/>
  <c r="H259" i="35"/>
  <c r="H260" i="35"/>
  <c r="H261" i="35"/>
  <c r="H262" i="35"/>
  <c r="H263" i="35"/>
  <c r="H264" i="35"/>
  <c r="H265" i="35"/>
  <c r="H266" i="35"/>
  <c r="H267" i="35"/>
  <c r="H268" i="35"/>
  <c r="H269" i="35"/>
  <c r="H270" i="35"/>
  <c r="H271" i="35"/>
  <c r="H272" i="35"/>
  <c r="H273" i="35"/>
  <c r="H274" i="35"/>
  <c r="H275" i="35"/>
  <c r="H276" i="35"/>
  <c r="H277" i="35"/>
  <c r="H278" i="35"/>
  <c r="H279" i="35"/>
  <c r="H280" i="35"/>
  <c r="H281" i="35"/>
  <c r="H282" i="35"/>
  <c r="H283" i="35"/>
  <c r="H284" i="35"/>
  <c r="H285" i="35"/>
  <c r="H286" i="35"/>
  <c r="H287" i="35"/>
  <c r="H288" i="35"/>
  <c r="H289" i="35"/>
  <c r="H290" i="35"/>
  <c r="H291" i="35"/>
  <c r="H292" i="35"/>
  <c r="H293" i="35"/>
  <c r="H294" i="35"/>
  <c r="H295" i="35"/>
  <c r="H296" i="35"/>
  <c r="H297" i="35"/>
  <c r="H298" i="35"/>
  <c r="H299" i="35"/>
  <c r="H300" i="35"/>
  <c r="H301" i="35"/>
  <c r="H302" i="35"/>
  <c r="H303" i="35"/>
  <c r="H304" i="35"/>
  <c r="H305" i="35"/>
  <c r="H306" i="35"/>
  <c r="H307" i="35"/>
  <c r="H308" i="35"/>
  <c r="H309" i="35"/>
  <c r="H310" i="35"/>
  <c r="H311" i="35"/>
  <c r="H312" i="35"/>
  <c r="H313" i="35"/>
  <c r="H314" i="35"/>
  <c r="H315" i="35"/>
  <c r="H316" i="35"/>
  <c r="H317" i="35"/>
  <c r="H318" i="35"/>
  <c r="H319" i="35"/>
  <c r="H320" i="35"/>
  <c r="H321" i="35"/>
  <c r="H322" i="35"/>
  <c r="H323" i="35"/>
  <c r="H324" i="35"/>
  <c r="H325" i="35"/>
  <c r="H326" i="35"/>
  <c r="H327" i="35"/>
  <c r="H328" i="35"/>
  <c r="H329" i="35"/>
  <c r="H330" i="35"/>
  <c r="H331" i="35"/>
  <c r="H332" i="35"/>
  <c r="H333" i="35"/>
  <c r="H334" i="35"/>
  <c r="H335" i="35"/>
  <c r="H336" i="35"/>
  <c r="H337" i="35"/>
  <c r="H338" i="35"/>
  <c r="H339" i="35"/>
  <c r="H340" i="35"/>
  <c r="H341" i="35"/>
  <c r="H342" i="35"/>
  <c r="H343" i="35"/>
  <c r="H344" i="35"/>
  <c r="H345" i="35"/>
  <c r="H346" i="35"/>
  <c r="H347" i="35"/>
  <c r="H348" i="35"/>
  <c r="H349" i="35"/>
  <c r="H350" i="35"/>
  <c r="H351" i="35"/>
  <c r="H352" i="35"/>
  <c r="H353" i="35"/>
  <c r="H354" i="35"/>
  <c r="H355" i="35"/>
  <c r="H356" i="35"/>
  <c r="H357" i="35"/>
  <c r="H358" i="35"/>
  <c r="H359" i="35"/>
  <c r="H360" i="35"/>
  <c r="H361" i="35"/>
  <c r="H362" i="35"/>
  <c r="H363" i="35"/>
  <c r="H364" i="35"/>
  <c r="H365" i="35"/>
  <c r="H366" i="35"/>
  <c r="H367" i="35"/>
  <c r="H368" i="35"/>
  <c r="H369" i="35"/>
  <c r="H370" i="35"/>
  <c r="H371" i="35"/>
  <c r="H372" i="35"/>
  <c r="H373" i="35"/>
  <c r="H374" i="35"/>
  <c r="H375" i="35"/>
  <c r="H376" i="35"/>
  <c r="H377" i="35"/>
  <c r="H378" i="35"/>
  <c r="H379" i="35"/>
  <c r="H380" i="35"/>
  <c r="H381" i="35"/>
  <c r="H382" i="35"/>
  <c r="H383" i="35"/>
  <c r="H384" i="35"/>
  <c r="H385" i="35"/>
  <c r="H386" i="35"/>
  <c r="H387" i="35"/>
  <c r="H388" i="35"/>
  <c r="H389" i="35"/>
  <c r="H390" i="35"/>
  <c r="H391" i="35"/>
  <c r="H392" i="35"/>
  <c r="H393" i="35"/>
  <c r="H394" i="35"/>
  <c r="H395" i="35"/>
  <c r="H396" i="35"/>
  <c r="H397" i="35"/>
  <c r="H398" i="35"/>
  <c r="H399" i="35"/>
  <c r="H400" i="35"/>
  <c r="H401" i="35"/>
  <c r="H402" i="35"/>
  <c r="H403" i="35"/>
  <c r="H404" i="35"/>
  <c r="H405" i="35"/>
  <c r="H406" i="35"/>
  <c r="H407" i="35"/>
  <c r="H408" i="35"/>
  <c r="H409" i="35"/>
  <c r="H410" i="35"/>
  <c r="H411" i="35"/>
  <c r="H412" i="35"/>
  <c r="H413" i="35"/>
  <c r="H414" i="35"/>
  <c r="H415" i="35"/>
  <c r="H416" i="35"/>
  <c r="H417" i="35"/>
  <c r="H418" i="35"/>
  <c r="H419" i="35"/>
  <c r="H420" i="35"/>
  <c r="H421" i="35"/>
  <c r="H422" i="35"/>
  <c r="H423" i="35"/>
  <c r="H424" i="35"/>
  <c r="H425" i="35"/>
  <c r="H426" i="35"/>
  <c r="H427" i="35"/>
  <c r="H428" i="35"/>
  <c r="H429" i="35"/>
  <c r="H430" i="35"/>
  <c r="H431" i="35"/>
  <c r="H432" i="35"/>
  <c r="H433" i="35"/>
  <c r="H434" i="35"/>
  <c r="H435" i="35"/>
  <c r="H436" i="35"/>
  <c r="H437" i="35"/>
  <c r="H438" i="35"/>
  <c r="H439" i="35"/>
  <c r="H440" i="35"/>
  <c r="H441" i="35"/>
  <c r="H442" i="35"/>
  <c r="H443" i="35"/>
  <c r="H444" i="35"/>
  <c r="H445" i="35"/>
  <c r="H446" i="35"/>
  <c r="H447" i="35"/>
  <c r="H448" i="35"/>
  <c r="H449" i="35"/>
  <c r="H450" i="35"/>
  <c r="H451" i="35"/>
  <c r="H452" i="35"/>
  <c r="H453" i="35"/>
  <c r="H454" i="35"/>
  <c r="H455" i="35"/>
  <c r="H456" i="35"/>
  <c r="H457" i="35"/>
  <c r="H458" i="35"/>
  <c r="H459" i="35"/>
  <c r="H460" i="35"/>
  <c r="H461" i="35"/>
  <c r="H462" i="35"/>
  <c r="H463" i="35"/>
  <c r="H464" i="35"/>
  <c r="H465" i="35"/>
  <c r="H466" i="35"/>
  <c r="H467" i="35"/>
  <c r="H468" i="35"/>
  <c r="H469" i="35"/>
  <c r="H470" i="35"/>
  <c r="H471" i="35"/>
  <c r="H472" i="35"/>
  <c r="H473" i="35"/>
  <c r="H474" i="35"/>
  <c r="H475" i="35"/>
  <c r="H476" i="35"/>
  <c r="H477" i="35"/>
  <c r="H478" i="35"/>
  <c r="H479" i="35"/>
  <c r="H480" i="35"/>
  <c r="H481" i="35"/>
  <c r="H482" i="35"/>
  <c r="H483" i="35"/>
  <c r="H484" i="35"/>
  <c r="H485" i="35"/>
  <c r="H486" i="35"/>
  <c r="H487" i="35"/>
  <c r="H488" i="35"/>
  <c r="H489" i="35"/>
  <c r="H490" i="35"/>
  <c r="H491" i="35"/>
  <c r="H492" i="35"/>
  <c r="H493" i="35"/>
  <c r="H494" i="35"/>
  <c r="H495" i="35"/>
  <c r="H496" i="35"/>
  <c r="H497" i="35"/>
  <c r="H498" i="35"/>
  <c r="H499" i="35"/>
  <c r="H500" i="35"/>
  <c r="H501" i="35"/>
  <c r="H502" i="35"/>
  <c r="H503" i="35"/>
  <c r="H504" i="35"/>
  <c r="H505" i="35"/>
  <c r="H506" i="35"/>
  <c r="H507" i="35"/>
  <c r="H508" i="35"/>
  <c r="H509" i="35"/>
  <c r="H510" i="35"/>
  <c r="H512" i="35"/>
  <c r="H513" i="35"/>
  <c r="H514" i="35"/>
  <c r="H515" i="35"/>
  <c r="H516" i="35"/>
  <c r="H517" i="35"/>
  <c r="H518" i="35"/>
  <c r="H519" i="35"/>
  <c r="H520" i="35"/>
  <c r="H521" i="35"/>
  <c r="H522" i="35"/>
  <c r="H523" i="35"/>
  <c r="H524" i="35"/>
  <c r="H525" i="35"/>
  <c r="H526" i="35"/>
  <c r="H527" i="35"/>
  <c r="H528" i="35"/>
  <c r="H529" i="35"/>
  <c r="H530" i="35"/>
  <c r="H531" i="35"/>
  <c r="H532" i="35"/>
  <c r="H533" i="35"/>
  <c r="H534" i="35"/>
  <c r="H535" i="35"/>
  <c r="H536" i="35"/>
  <c r="H537" i="35"/>
  <c r="H538" i="35"/>
  <c r="H539" i="35"/>
  <c r="H540" i="35"/>
  <c r="H541" i="35"/>
  <c r="H542" i="35"/>
  <c r="H543" i="35"/>
  <c r="H544" i="35"/>
  <c r="H545" i="35"/>
  <c r="H546" i="35"/>
  <c r="H547" i="35"/>
  <c r="H548" i="35"/>
  <c r="H549" i="35"/>
  <c r="H550" i="35"/>
  <c r="H551" i="35"/>
  <c r="H552" i="35"/>
  <c r="H553" i="35"/>
  <c r="H554" i="35"/>
  <c r="H555" i="35"/>
  <c r="H556" i="35"/>
  <c r="H557" i="35"/>
  <c r="H558" i="35"/>
  <c r="H559" i="35"/>
  <c r="H560" i="35"/>
  <c r="H561" i="35"/>
  <c r="H562" i="35"/>
  <c r="H563" i="35"/>
  <c r="H564" i="35"/>
  <c r="H565" i="35"/>
  <c r="H566" i="35"/>
  <c r="H567" i="35"/>
  <c r="H568" i="35"/>
  <c r="H569" i="35"/>
  <c r="H570" i="35"/>
  <c r="H571" i="35"/>
  <c r="H572" i="35"/>
  <c r="H573" i="35"/>
  <c r="H574" i="35"/>
  <c r="H575" i="35"/>
  <c r="H576" i="35"/>
  <c r="H577" i="35"/>
  <c r="H578" i="35"/>
  <c r="H579" i="35"/>
  <c r="H580" i="35"/>
  <c r="H581" i="35"/>
  <c r="H582" i="35"/>
  <c r="H583" i="35"/>
  <c r="H584" i="35"/>
  <c r="H585" i="35"/>
  <c r="H586" i="35"/>
  <c r="H587" i="35"/>
  <c r="H588" i="35"/>
  <c r="H589" i="35"/>
  <c r="H590" i="35"/>
  <c r="H591" i="35"/>
  <c r="H592" i="35"/>
  <c r="H593" i="35"/>
  <c r="H594" i="35"/>
  <c r="H595" i="35"/>
  <c r="H596" i="35"/>
  <c r="H597" i="35"/>
  <c r="H598" i="35"/>
  <c r="H599" i="35"/>
  <c r="H600" i="35"/>
  <c r="H601" i="35"/>
  <c r="H602" i="35"/>
  <c r="H603" i="35"/>
  <c r="H604" i="35"/>
  <c r="H605" i="35"/>
  <c r="H606" i="35"/>
  <c r="H607" i="35"/>
  <c r="H608" i="35"/>
  <c r="H609" i="35"/>
  <c r="H610" i="35"/>
  <c r="H611" i="35"/>
  <c r="H612" i="35"/>
  <c r="H613" i="35"/>
  <c r="H614" i="35"/>
  <c r="H615" i="35"/>
  <c r="H616" i="35"/>
  <c r="H617" i="35"/>
  <c r="H618" i="35"/>
  <c r="H619" i="35"/>
  <c r="H620" i="35"/>
  <c r="H621" i="35"/>
  <c r="H622" i="35"/>
  <c r="H623" i="35"/>
  <c r="H624" i="35"/>
  <c r="H625" i="35"/>
  <c r="H626" i="35"/>
  <c r="H627" i="35"/>
  <c r="H628" i="35"/>
  <c r="H629" i="35"/>
  <c r="H630" i="35"/>
  <c r="H631" i="35"/>
  <c r="H632" i="35"/>
  <c r="H633" i="35"/>
  <c r="H634" i="35"/>
  <c r="H635" i="35"/>
  <c r="H636" i="35"/>
  <c r="H637" i="35"/>
  <c r="H638" i="35"/>
  <c r="H639" i="35"/>
  <c r="H640" i="35"/>
  <c r="H641" i="35"/>
  <c r="H642" i="35"/>
  <c r="H643" i="35"/>
  <c r="H644" i="35"/>
  <c r="H645" i="35"/>
  <c r="H646" i="35"/>
  <c r="H647" i="35"/>
  <c r="H648" i="35"/>
  <c r="H649" i="35"/>
  <c r="H650" i="35"/>
  <c r="H651" i="35"/>
  <c r="H652" i="35"/>
  <c r="H653" i="35"/>
  <c r="H654" i="35"/>
  <c r="H655" i="35"/>
  <c r="H656" i="35"/>
  <c r="H657" i="35"/>
  <c r="H658" i="35"/>
  <c r="H659" i="35"/>
  <c r="H660" i="35"/>
  <c r="H661" i="35"/>
  <c r="H662" i="35"/>
  <c r="H663" i="35"/>
  <c r="H664" i="35"/>
  <c r="H665" i="35"/>
  <c r="H666" i="35"/>
  <c r="H667" i="35"/>
  <c r="H668" i="35"/>
  <c r="H669" i="35"/>
  <c r="H670" i="35"/>
  <c r="H671" i="35"/>
  <c r="H672" i="35"/>
  <c r="H673" i="35"/>
  <c r="H674" i="35"/>
  <c r="H675" i="35"/>
  <c r="H676" i="35"/>
  <c r="H677" i="35"/>
  <c r="H678" i="35"/>
  <c r="H679" i="35"/>
  <c r="H680" i="35"/>
  <c r="H681" i="35"/>
  <c r="H682" i="35"/>
  <c r="H683" i="35"/>
  <c r="H684" i="35"/>
  <c r="H3" i="35"/>
  <c r="H4" i="35"/>
  <c r="F6" i="35"/>
  <c r="F7" i="35"/>
  <c r="F8" i="35"/>
  <c r="F9" i="35"/>
  <c r="F10" i="35"/>
  <c r="F11" i="35"/>
  <c r="F12" i="35"/>
  <c r="F13" i="35"/>
  <c r="F14" i="35"/>
  <c r="F15" i="35"/>
  <c r="F16" i="35"/>
  <c r="F17" i="35"/>
  <c r="F18" i="35"/>
  <c r="F19" i="35"/>
  <c r="F20" i="35"/>
  <c r="F21" i="35"/>
  <c r="F22" i="35"/>
  <c r="F23" i="35"/>
  <c r="F24" i="35"/>
  <c r="F25" i="35"/>
  <c r="F26" i="35"/>
  <c r="F27" i="35"/>
  <c r="F28" i="35"/>
  <c r="F29" i="35"/>
  <c r="F30" i="35"/>
  <c r="F31" i="35"/>
  <c r="F32" i="35"/>
  <c r="F33" i="35"/>
  <c r="F34" i="35"/>
  <c r="F35" i="35"/>
  <c r="F36" i="35"/>
  <c r="F37" i="35"/>
  <c r="F38" i="35"/>
  <c r="F39" i="35"/>
  <c r="F40" i="35"/>
  <c r="F41" i="35"/>
  <c r="F42" i="35"/>
  <c r="F43" i="35"/>
  <c r="F44" i="35"/>
  <c r="F45" i="35"/>
  <c r="F46" i="35"/>
  <c r="F47" i="35"/>
  <c r="F48" i="35"/>
  <c r="F49" i="35"/>
  <c r="F50" i="35"/>
  <c r="F51" i="35"/>
  <c r="F52" i="35"/>
  <c r="F53" i="35"/>
  <c r="F54" i="35"/>
  <c r="F55" i="35"/>
  <c r="F56" i="35"/>
  <c r="F57" i="35"/>
  <c r="F58" i="35"/>
  <c r="F59" i="35"/>
  <c r="F60" i="35"/>
  <c r="F61" i="35"/>
  <c r="F62" i="35"/>
  <c r="F63" i="35"/>
  <c r="F64" i="35"/>
  <c r="F65" i="35"/>
  <c r="F66" i="35"/>
  <c r="F67" i="35"/>
  <c r="F68" i="35"/>
  <c r="E68" i="35" s="1"/>
  <c r="F69" i="35"/>
  <c r="F70" i="35"/>
  <c r="E70" i="35" s="1"/>
  <c r="F71" i="35"/>
  <c r="F72" i="35"/>
  <c r="E72" i="35" s="1"/>
  <c r="F73" i="35"/>
  <c r="F74" i="35"/>
  <c r="E74" i="35" s="1"/>
  <c r="F75" i="35"/>
  <c r="E75" i="35" s="1"/>
  <c r="F76" i="35"/>
  <c r="E76" i="35" s="1"/>
  <c r="F77" i="35"/>
  <c r="F78" i="35"/>
  <c r="F79" i="35"/>
  <c r="E79" i="35" s="1"/>
  <c r="F80" i="35"/>
  <c r="F81" i="35"/>
  <c r="E81" i="35" s="1"/>
  <c r="F82" i="35"/>
  <c r="F83" i="35"/>
  <c r="F84" i="35"/>
  <c r="E84" i="35" s="1"/>
  <c r="F85" i="35"/>
  <c r="E85" i="35" s="1"/>
  <c r="F86" i="35"/>
  <c r="E86" i="35" s="1"/>
  <c r="F87" i="35"/>
  <c r="F88" i="35"/>
  <c r="F89" i="35"/>
  <c r="E89" i="35" s="1"/>
  <c r="F90" i="35"/>
  <c r="E90" i="35" s="1"/>
  <c r="F91" i="35"/>
  <c r="E91" i="35" s="1"/>
  <c r="F92" i="35"/>
  <c r="F93" i="35"/>
  <c r="F94" i="35"/>
  <c r="F95" i="35"/>
  <c r="F96" i="35"/>
  <c r="F97" i="35"/>
  <c r="F98" i="35"/>
  <c r="F99" i="35"/>
  <c r="F100" i="35"/>
  <c r="F101" i="35"/>
  <c r="F102" i="35"/>
  <c r="F103" i="35"/>
  <c r="F104" i="35"/>
  <c r="F105" i="35"/>
  <c r="F106" i="35"/>
  <c r="F107" i="35"/>
  <c r="F108" i="35"/>
  <c r="F109" i="35"/>
  <c r="F110" i="35"/>
  <c r="F111" i="35"/>
  <c r="F112" i="35"/>
  <c r="F113" i="35"/>
  <c r="F114" i="35"/>
  <c r="F115" i="35"/>
  <c r="F116" i="35"/>
  <c r="F117" i="35"/>
  <c r="F118" i="35"/>
  <c r="F119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6" i="35"/>
  <c r="F137" i="35"/>
  <c r="F138" i="35"/>
  <c r="F139" i="35"/>
  <c r="F140" i="35"/>
  <c r="F141" i="35"/>
  <c r="F142" i="35"/>
  <c r="F143" i="35"/>
  <c r="F144" i="35"/>
  <c r="F145" i="35"/>
  <c r="F146" i="35"/>
  <c r="F147" i="35"/>
  <c r="F148" i="35"/>
  <c r="F149" i="35"/>
  <c r="F150" i="35"/>
  <c r="F151" i="35"/>
  <c r="F152" i="35"/>
  <c r="F153" i="35"/>
  <c r="F154" i="35"/>
  <c r="F155" i="35"/>
  <c r="F156" i="35"/>
  <c r="F157" i="35"/>
  <c r="F158" i="35"/>
  <c r="F159" i="35"/>
  <c r="F160" i="35"/>
  <c r="F161" i="35"/>
  <c r="F162" i="35"/>
  <c r="F163" i="35"/>
  <c r="F164" i="35"/>
  <c r="F165" i="35"/>
  <c r="F166" i="35"/>
  <c r="F167" i="35"/>
  <c r="F168" i="35"/>
  <c r="F169" i="35"/>
  <c r="F170" i="35"/>
  <c r="F171" i="35"/>
  <c r="F172" i="35"/>
  <c r="F173" i="35"/>
  <c r="F174" i="35"/>
  <c r="F175" i="35"/>
  <c r="F176" i="35"/>
  <c r="F177" i="35"/>
  <c r="F178" i="35"/>
  <c r="F179" i="35"/>
  <c r="F180" i="35"/>
  <c r="F181" i="35"/>
  <c r="F182" i="35"/>
  <c r="F183" i="35"/>
  <c r="F184" i="35"/>
  <c r="F185" i="35"/>
  <c r="F186" i="35"/>
  <c r="F187" i="35"/>
  <c r="F188" i="35"/>
  <c r="F189" i="35"/>
  <c r="F190" i="35"/>
  <c r="F191" i="35"/>
  <c r="F192" i="35"/>
  <c r="F193" i="35"/>
  <c r="F194" i="35"/>
  <c r="F195" i="35"/>
  <c r="F196" i="35"/>
  <c r="F197" i="35"/>
  <c r="F198" i="35"/>
  <c r="F199" i="35"/>
  <c r="F200" i="35"/>
  <c r="F201" i="35"/>
  <c r="F202" i="35"/>
  <c r="F203" i="35"/>
  <c r="F204" i="35"/>
  <c r="F205" i="35"/>
  <c r="F206" i="35"/>
  <c r="F207" i="35"/>
  <c r="F208" i="35"/>
  <c r="F209" i="35"/>
  <c r="F210" i="35"/>
  <c r="F211" i="35"/>
  <c r="F212" i="35"/>
  <c r="F213" i="35"/>
  <c r="F214" i="35"/>
  <c r="F215" i="35"/>
  <c r="F216" i="35"/>
  <c r="F217" i="35"/>
  <c r="F218" i="35"/>
  <c r="F219" i="35"/>
  <c r="F220" i="35"/>
  <c r="F221" i="35"/>
  <c r="F222" i="35"/>
  <c r="F223" i="35"/>
  <c r="F224" i="35"/>
  <c r="F225" i="35"/>
  <c r="F226" i="35"/>
  <c r="F227" i="35"/>
  <c r="F228" i="35"/>
  <c r="F229" i="35"/>
  <c r="F230" i="35"/>
  <c r="F231" i="35"/>
  <c r="F232" i="35"/>
  <c r="F233" i="35"/>
  <c r="F234" i="35"/>
  <c r="F235" i="35"/>
  <c r="F236" i="35"/>
  <c r="F237" i="35"/>
  <c r="F238" i="35"/>
  <c r="F239" i="35"/>
  <c r="F240" i="35"/>
  <c r="F241" i="35"/>
  <c r="F242" i="35"/>
  <c r="F243" i="35"/>
  <c r="F244" i="35"/>
  <c r="F245" i="35"/>
  <c r="F246" i="35"/>
  <c r="F247" i="35"/>
  <c r="F248" i="35"/>
  <c r="F249" i="35"/>
  <c r="F250" i="35"/>
  <c r="F251" i="35"/>
  <c r="F252" i="35"/>
  <c r="F253" i="35"/>
  <c r="F254" i="35"/>
  <c r="F255" i="35"/>
  <c r="F256" i="35"/>
  <c r="F257" i="35"/>
  <c r="F258" i="35"/>
  <c r="F259" i="35"/>
  <c r="F260" i="35"/>
  <c r="F261" i="35"/>
  <c r="F262" i="35"/>
  <c r="F263" i="35"/>
  <c r="F264" i="35"/>
  <c r="F265" i="35"/>
  <c r="F266" i="35"/>
  <c r="F267" i="35"/>
  <c r="F268" i="35"/>
  <c r="F269" i="35"/>
  <c r="F270" i="35"/>
  <c r="F271" i="35"/>
  <c r="F272" i="35"/>
  <c r="F273" i="35"/>
  <c r="F274" i="35"/>
  <c r="F275" i="35"/>
  <c r="F276" i="35"/>
  <c r="F277" i="35"/>
  <c r="F278" i="35"/>
  <c r="F279" i="35"/>
  <c r="F280" i="35"/>
  <c r="F281" i="35"/>
  <c r="F282" i="35"/>
  <c r="F283" i="35"/>
  <c r="F284" i="35"/>
  <c r="F285" i="35"/>
  <c r="F286" i="35"/>
  <c r="F287" i="35"/>
  <c r="F288" i="35"/>
  <c r="F289" i="35"/>
  <c r="F290" i="35"/>
  <c r="F291" i="35"/>
  <c r="F292" i="35"/>
  <c r="F293" i="35"/>
  <c r="F294" i="35"/>
  <c r="F295" i="35"/>
  <c r="F296" i="35"/>
  <c r="F297" i="35"/>
  <c r="F298" i="35"/>
  <c r="F299" i="35"/>
  <c r="F300" i="35"/>
  <c r="F301" i="35"/>
  <c r="F302" i="35"/>
  <c r="F303" i="35"/>
  <c r="F304" i="35"/>
  <c r="F305" i="35"/>
  <c r="F306" i="35"/>
  <c r="F307" i="35"/>
  <c r="F308" i="35"/>
  <c r="F309" i="35"/>
  <c r="F310" i="35"/>
  <c r="F311" i="35"/>
  <c r="F312" i="35"/>
  <c r="F313" i="35"/>
  <c r="F314" i="35"/>
  <c r="F315" i="35"/>
  <c r="F316" i="35"/>
  <c r="F317" i="35"/>
  <c r="F318" i="35"/>
  <c r="F319" i="35"/>
  <c r="F320" i="35"/>
  <c r="F321" i="35"/>
  <c r="F322" i="35"/>
  <c r="F323" i="35"/>
  <c r="F324" i="35"/>
  <c r="F325" i="35"/>
  <c r="F326" i="35"/>
  <c r="F327" i="35"/>
  <c r="F328" i="35"/>
  <c r="F329" i="35"/>
  <c r="F330" i="35"/>
  <c r="F331" i="35"/>
  <c r="F332" i="35"/>
  <c r="F333" i="35"/>
  <c r="F334" i="35"/>
  <c r="F335" i="35"/>
  <c r="F336" i="35"/>
  <c r="F337" i="35"/>
  <c r="F338" i="35"/>
  <c r="F339" i="35"/>
  <c r="F340" i="35"/>
  <c r="F341" i="35"/>
  <c r="F342" i="35"/>
  <c r="F343" i="35"/>
  <c r="F344" i="35"/>
  <c r="F345" i="35"/>
  <c r="F346" i="35"/>
  <c r="F347" i="35"/>
  <c r="F348" i="35"/>
  <c r="F349" i="35"/>
  <c r="F350" i="35"/>
  <c r="F351" i="35"/>
  <c r="F352" i="35"/>
  <c r="F353" i="35"/>
  <c r="F354" i="35"/>
  <c r="F355" i="35"/>
  <c r="F356" i="35"/>
  <c r="F357" i="35"/>
  <c r="F358" i="35"/>
  <c r="F359" i="35"/>
  <c r="F360" i="35"/>
  <c r="F361" i="35"/>
  <c r="F362" i="35"/>
  <c r="F363" i="35"/>
  <c r="F364" i="35"/>
  <c r="F365" i="35"/>
  <c r="F366" i="35"/>
  <c r="F367" i="35"/>
  <c r="F368" i="35"/>
  <c r="F369" i="35"/>
  <c r="F370" i="35"/>
  <c r="F371" i="35"/>
  <c r="F372" i="35"/>
  <c r="F373" i="35"/>
  <c r="F374" i="35"/>
  <c r="F375" i="35"/>
  <c r="F376" i="35"/>
  <c r="F377" i="35"/>
  <c r="F378" i="35"/>
  <c r="F379" i="35"/>
  <c r="F380" i="35"/>
  <c r="F381" i="35"/>
  <c r="F382" i="35"/>
  <c r="F383" i="35"/>
  <c r="F384" i="35"/>
  <c r="F385" i="35"/>
  <c r="F386" i="35"/>
  <c r="F387" i="35"/>
  <c r="F388" i="35"/>
  <c r="F389" i="35"/>
  <c r="F390" i="35"/>
  <c r="F391" i="35"/>
  <c r="F392" i="35"/>
  <c r="F393" i="35"/>
  <c r="F394" i="35"/>
  <c r="F395" i="35"/>
  <c r="F396" i="35"/>
  <c r="F397" i="35"/>
  <c r="F398" i="35"/>
  <c r="F399" i="35"/>
  <c r="F400" i="35"/>
  <c r="F401" i="35"/>
  <c r="F402" i="35"/>
  <c r="F403" i="35"/>
  <c r="F404" i="35"/>
  <c r="F405" i="35"/>
  <c r="F406" i="35"/>
  <c r="F407" i="35"/>
  <c r="F408" i="35"/>
  <c r="F409" i="35"/>
  <c r="F410" i="35"/>
  <c r="F411" i="35"/>
  <c r="F412" i="35"/>
  <c r="F413" i="35"/>
  <c r="F414" i="35"/>
  <c r="F415" i="35"/>
  <c r="F416" i="35"/>
  <c r="F417" i="35"/>
  <c r="F418" i="35"/>
  <c r="F419" i="35"/>
  <c r="F420" i="35"/>
  <c r="F421" i="35"/>
  <c r="F422" i="35"/>
  <c r="F423" i="35"/>
  <c r="F424" i="35"/>
  <c r="F425" i="35"/>
  <c r="F426" i="35"/>
  <c r="F427" i="35"/>
  <c r="F428" i="35"/>
  <c r="F429" i="35"/>
  <c r="F430" i="35"/>
  <c r="F431" i="35"/>
  <c r="F432" i="35"/>
  <c r="F433" i="35"/>
  <c r="F434" i="35"/>
  <c r="F435" i="35"/>
  <c r="F436" i="35"/>
  <c r="F437" i="35"/>
  <c r="F438" i="35"/>
  <c r="F439" i="35"/>
  <c r="F440" i="35"/>
  <c r="F441" i="35"/>
  <c r="F442" i="35"/>
  <c r="F443" i="35"/>
  <c r="F444" i="35"/>
  <c r="F445" i="35"/>
  <c r="F446" i="35"/>
  <c r="F447" i="35"/>
  <c r="F448" i="35"/>
  <c r="F449" i="35"/>
  <c r="F450" i="35"/>
  <c r="F451" i="35"/>
  <c r="F452" i="35"/>
  <c r="F453" i="35"/>
  <c r="F454" i="35"/>
  <c r="F455" i="35"/>
  <c r="F456" i="35"/>
  <c r="F457" i="35"/>
  <c r="F458" i="35"/>
  <c r="F459" i="35"/>
  <c r="F460" i="35"/>
  <c r="F461" i="35"/>
  <c r="F462" i="35"/>
  <c r="F463" i="35"/>
  <c r="F464" i="35"/>
  <c r="F465" i="35"/>
  <c r="F466" i="35"/>
  <c r="F467" i="35"/>
  <c r="F468" i="35"/>
  <c r="F469" i="35"/>
  <c r="F470" i="35"/>
  <c r="F471" i="35"/>
  <c r="F472" i="35"/>
  <c r="F473" i="35"/>
  <c r="F474" i="35"/>
  <c r="F475" i="35"/>
  <c r="F476" i="35"/>
  <c r="F477" i="35"/>
  <c r="F478" i="35"/>
  <c r="F479" i="35"/>
  <c r="F480" i="35"/>
  <c r="F481" i="35"/>
  <c r="F482" i="35"/>
  <c r="F483" i="35"/>
  <c r="F484" i="35"/>
  <c r="F485" i="35"/>
  <c r="F486" i="35"/>
  <c r="F487" i="35"/>
  <c r="F488" i="35"/>
  <c r="F489" i="35"/>
  <c r="F490" i="35"/>
  <c r="F491" i="35"/>
  <c r="F492" i="35"/>
  <c r="F493" i="35"/>
  <c r="F494" i="35"/>
  <c r="F495" i="35"/>
  <c r="F496" i="35"/>
  <c r="F497" i="35"/>
  <c r="F498" i="35"/>
  <c r="F499" i="35"/>
  <c r="F500" i="35"/>
  <c r="F501" i="35"/>
  <c r="F502" i="35"/>
  <c r="F503" i="35"/>
  <c r="F504" i="35"/>
  <c r="F505" i="35"/>
  <c r="F506" i="35"/>
  <c r="F507" i="35"/>
  <c r="F508" i="35"/>
  <c r="F509" i="35"/>
  <c r="F510" i="35"/>
  <c r="F512" i="35"/>
  <c r="F513" i="35"/>
  <c r="F514" i="35"/>
  <c r="F515" i="35"/>
  <c r="F516" i="35"/>
  <c r="F517" i="35"/>
  <c r="F518" i="35"/>
  <c r="F519" i="35"/>
  <c r="F520" i="35"/>
  <c r="F521" i="35"/>
  <c r="F522" i="35"/>
  <c r="F523" i="35"/>
  <c r="F524" i="35"/>
  <c r="F525" i="35"/>
  <c r="F526" i="35"/>
  <c r="F527" i="35"/>
  <c r="F528" i="35"/>
  <c r="F529" i="35"/>
  <c r="F530" i="35"/>
  <c r="F531" i="35"/>
  <c r="F532" i="35"/>
  <c r="F533" i="35"/>
  <c r="F534" i="35"/>
  <c r="F535" i="35"/>
  <c r="F536" i="35"/>
  <c r="F537" i="35"/>
  <c r="F538" i="35"/>
  <c r="F539" i="35"/>
  <c r="F540" i="35"/>
  <c r="F541" i="35"/>
  <c r="F542" i="35"/>
  <c r="F543" i="35"/>
  <c r="F544" i="35"/>
  <c r="F545" i="35"/>
  <c r="F546" i="35"/>
  <c r="F547" i="35"/>
  <c r="F548" i="35"/>
  <c r="F549" i="35"/>
  <c r="F550" i="35"/>
  <c r="F551" i="35"/>
  <c r="F552" i="35"/>
  <c r="F553" i="35"/>
  <c r="F554" i="35"/>
  <c r="F555" i="35"/>
  <c r="F556" i="35"/>
  <c r="F557" i="35"/>
  <c r="F558" i="35"/>
  <c r="F559" i="35"/>
  <c r="F560" i="35"/>
  <c r="F561" i="35"/>
  <c r="F562" i="35"/>
  <c r="F563" i="35"/>
  <c r="F564" i="35"/>
  <c r="F565" i="35"/>
  <c r="F566" i="35"/>
  <c r="F567" i="35"/>
  <c r="F568" i="35"/>
  <c r="F569" i="35"/>
  <c r="F570" i="35"/>
  <c r="F571" i="35"/>
  <c r="F572" i="35"/>
  <c r="F573" i="35"/>
  <c r="F574" i="35"/>
  <c r="F575" i="35"/>
  <c r="F576" i="35"/>
  <c r="F577" i="35"/>
  <c r="F578" i="35"/>
  <c r="F579" i="35"/>
  <c r="F580" i="35"/>
  <c r="F581" i="35"/>
  <c r="F582" i="35"/>
  <c r="F583" i="35"/>
  <c r="F584" i="35"/>
  <c r="F585" i="35"/>
  <c r="F586" i="35"/>
  <c r="F587" i="35"/>
  <c r="F588" i="35"/>
  <c r="F589" i="35"/>
  <c r="F590" i="35"/>
  <c r="F591" i="35"/>
  <c r="F592" i="35"/>
  <c r="F593" i="35"/>
  <c r="F594" i="35"/>
  <c r="F595" i="35"/>
  <c r="F596" i="35"/>
  <c r="F597" i="35"/>
  <c r="F598" i="35"/>
  <c r="F599" i="35"/>
  <c r="F600" i="35"/>
  <c r="F601" i="35"/>
  <c r="F602" i="35"/>
  <c r="F603" i="35"/>
  <c r="F604" i="35"/>
  <c r="F605" i="35"/>
  <c r="F606" i="35"/>
  <c r="F607" i="35"/>
  <c r="F608" i="35"/>
  <c r="F609" i="35"/>
  <c r="F610" i="35"/>
  <c r="F611" i="35"/>
  <c r="F612" i="35"/>
  <c r="F613" i="35"/>
  <c r="F614" i="35"/>
  <c r="F615" i="35"/>
  <c r="F616" i="35"/>
  <c r="F617" i="35"/>
  <c r="F618" i="35"/>
  <c r="F619" i="35"/>
  <c r="F620" i="35"/>
  <c r="F621" i="35"/>
  <c r="F622" i="35"/>
  <c r="F623" i="35"/>
  <c r="F624" i="35"/>
  <c r="F625" i="35"/>
  <c r="F626" i="35"/>
  <c r="F627" i="35"/>
  <c r="F628" i="35"/>
  <c r="F629" i="35"/>
  <c r="F630" i="35"/>
  <c r="F631" i="35"/>
  <c r="F632" i="35"/>
  <c r="F633" i="35"/>
  <c r="F634" i="35"/>
  <c r="F635" i="35"/>
  <c r="F636" i="35"/>
  <c r="F637" i="35"/>
  <c r="F638" i="35"/>
  <c r="F639" i="35"/>
  <c r="F640" i="35"/>
  <c r="F641" i="35"/>
  <c r="F642" i="35"/>
  <c r="F643" i="35"/>
  <c r="F644" i="35"/>
  <c r="F645" i="35"/>
  <c r="F646" i="35"/>
  <c r="F647" i="35"/>
  <c r="F648" i="35"/>
  <c r="F649" i="35"/>
  <c r="F650" i="35"/>
  <c r="F651" i="35"/>
  <c r="F652" i="35"/>
  <c r="F653" i="35"/>
  <c r="F654" i="35"/>
  <c r="F655" i="35"/>
  <c r="F656" i="35"/>
  <c r="F657" i="35"/>
  <c r="F658" i="35"/>
  <c r="F659" i="35"/>
  <c r="F660" i="35"/>
  <c r="F661" i="35"/>
  <c r="F662" i="35"/>
  <c r="F663" i="35"/>
  <c r="F664" i="35"/>
  <c r="F665" i="35"/>
  <c r="F666" i="35"/>
  <c r="F667" i="35"/>
  <c r="F668" i="35"/>
  <c r="F669" i="35"/>
  <c r="F670" i="35"/>
  <c r="F671" i="35"/>
  <c r="F672" i="35"/>
  <c r="F673" i="35"/>
  <c r="F674" i="35"/>
  <c r="F675" i="35"/>
  <c r="F676" i="35"/>
  <c r="F677" i="35"/>
  <c r="F678" i="35"/>
  <c r="F679" i="35"/>
  <c r="F680" i="35"/>
  <c r="F681" i="35"/>
  <c r="F682" i="35"/>
  <c r="F683" i="35"/>
  <c r="F684" i="35"/>
  <c r="F3" i="35"/>
  <c r="F4" i="35"/>
  <c r="F5" i="35"/>
  <c r="H2" i="35"/>
  <c r="F2" i="35"/>
  <c r="E62" i="35"/>
  <c r="E6" i="35"/>
  <c r="E88" i="35"/>
  <c r="E87" i="35"/>
  <c r="E82" i="35"/>
  <c r="E78" i="35"/>
  <c r="E73" i="35"/>
  <c r="E83" i="35"/>
  <c r="E80" i="35"/>
  <c r="E77" i="35"/>
  <c r="E71" i="35"/>
  <c r="E69" i="35"/>
  <c r="E282" i="35" l="1"/>
  <c r="E649" i="35" l="1"/>
  <c r="E443" i="35"/>
  <c r="E444" i="35"/>
  <c r="E430" i="35" l="1"/>
  <c r="E33" i="35"/>
  <c r="E268" i="35"/>
  <c r="E323" i="35"/>
  <c r="E392" i="35"/>
  <c r="E384" i="35"/>
  <c r="E381" i="35"/>
  <c r="E135" i="35"/>
  <c r="E134" i="35"/>
  <c r="E553" i="35" l="1"/>
  <c r="E432" i="35"/>
  <c r="E445" i="35"/>
  <c r="E446" i="35"/>
  <c r="E447" i="35"/>
  <c r="E469" i="35"/>
  <c r="E471" i="35"/>
  <c r="E468" i="35"/>
  <c r="E160" i="35"/>
  <c r="E369" i="35" l="1"/>
  <c r="E259" i="35"/>
  <c r="E603" i="35"/>
  <c r="E367" i="35"/>
  <c r="E366" i="35"/>
  <c r="E368" i="35"/>
  <c r="E27" i="35" l="1"/>
  <c r="E12" i="35"/>
  <c r="E629" i="35"/>
  <c r="E34" i="35"/>
  <c r="E416" i="35"/>
  <c r="E551" i="35"/>
  <c r="E412" i="35"/>
  <c r="E267" i="35"/>
  <c r="E270" i="35"/>
  <c r="E269" i="35"/>
  <c r="E545" i="35"/>
  <c r="E547" i="35"/>
  <c r="E546" i="35"/>
  <c r="E642" i="35"/>
  <c r="E622" i="35"/>
  <c r="E464" i="35"/>
  <c r="E518" i="35"/>
  <c r="E641" i="35"/>
  <c r="E481" i="35"/>
  <c r="E479" i="35"/>
  <c r="E486" i="35"/>
  <c r="E39" i="35"/>
  <c r="E542" i="35" l="1"/>
  <c r="E634" i="35"/>
  <c r="E204" i="35"/>
  <c r="E590" i="35"/>
  <c r="E591" i="35"/>
  <c r="E477" i="35"/>
  <c r="E16" i="35"/>
  <c r="E356" i="35"/>
  <c r="E460" i="35"/>
  <c r="E607" i="35"/>
  <c r="E8" i="35"/>
  <c r="E217" i="35"/>
  <c r="E151" i="35" l="1"/>
  <c r="E625" i="35"/>
  <c r="E567" i="35"/>
  <c r="E568" i="35"/>
  <c r="E502" i="35"/>
  <c r="E166" i="35"/>
  <c r="E161" i="35"/>
  <c r="E461" i="35"/>
  <c r="E147" i="35"/>
  <c r="E501" i="35"/>
  <c r="E467" i="35" l="1"/>
  <c r="E544" i="35"/>
  <c r="E543" i="35"/>
  <c r="E466" i="35"/>
  <c r="E205" i="35"/>
  <c r="E207" i="35"/>
  <c r="E208" i="35"/>
  <c r="E345" i="35"/>
  <c r="E433" i="35"/>
  <c r="E631" i="35"/>
  <c r="E621" i="35"/>
  <c r="E480" i="35"/>
  <c r="E491" i="35"/>
  <c r="E490" i="35"/>
  <c r="E172" i="35" l="1"/>
  <c r="E176" i="35"/>
  <c r="E539" i="35"/>
  <c r="E298" i="35"/>
  <c r="E31" i="35"/>
  <c r="E32" i="35"/>
  <c r="E29" i="35"/>
  <c r="E30" i="35"/>
  <c r="E308" i="35"/>
  <c r="E157" i="35"/>
  <c r="E156" i="35"/>
  <c r="E155" i="35"/>
  <c r="E575" i="35"/>
  <c r="E574" i="35"/>
  <c r="E431" i="35"/>
  <c r="E519" i="35"/>
  <c r="E548" i="35" l="1"/>
  <c r="E559" i="35"/>
  <c r="E558" i="35"/>
  <c r="E307" i="35" l="1"/>
  <c r="E365" i="35" l="1"/>
  <c r="E371" i="35"/>
  <c r="E656" i="35" l="1"/>
  <c r="E658" i="35"/>
  <c r="E347" i="35"/>
  <c r="E36" i="35"/>
  <c r="E488" i="35"/>
  <c r="E475" i="35" l="1"/>
  <c r="E434" i="35"/>
  <c r="E476" i="35"/>
  <c r="E485" i="35"/>
  <c r="E484" i="35"/>
  <c r="E579" i="35" l="1"/>
  <c r="E116" i="35" l="1"/>
  <c r="E318" i="35"/>
  <c r="E487" i="35"/>
  <c r="E399" i="35"/>
  <c r="E398" i="35"/>
  <c r="E181" i="35"/>
  <c r="E178" i="35"/>
  <c r="E177" i="35"/>
  <c r="E271" i="35"/>
  <c r="E283" i="35"/>
  <c r="E284" i="35"/>
  <c r="E294" i="35"/>
  <c r="E295" i="35"/>
  <c r="E293" i="35"/>
  <c r="E287" i="35"/>
  <c r="E290" i="35"/>
  <c r="E541" i="35" l="1"/>
  <c r="E400" i="35"/>
  <c r="E148" i="35"/>
  <c r="E364" i="35"/>
  <c r="E418" i="35"/>
  <c r="E310" i="35"/>
  <c r="E206" i="35" l="1"/>
  <c r="E332" i="35"/>
  <c r="E489" i="35"/>
  <c r="E478" i="35"/>
  <c r="E363" i="35"/>
  <c r="E226" i="35"/>
  <c r="E221" i="35"/>
  <c r="E173" i="35"/>
  <c r="E174" i="35"/>
  <c r="E175" i="35"/>
  <c r="E633" i="35"/>
  <c r="E18" i="35"/>
  <c r="E288" i="35" l="1"/>
  <c r="E291" i="35"/>
  <c r="E286" i="35"/>
  <c r="E289" i="35" l="1"/>
  <c r="E292" i="35"/>
  <c r="E285" i="35"/>
  <c r="E613" i="35" l="1"/>
  <c r="E40" i="35"/>
  <c r="E37" i="35"/>
  <c r="E35" i="35"/>
  <c r="E677" i="35"/>
  <c r="E441" i="35" l="1"/>
  <c r="E640" i="35" l="1"/>
  <c r="E313" i="35" l="1"/>
  <c r="E215" i="35" l="1"/>
  <c r="E500" i="35" l="1"/>
  <c r="E523" i="35" l="1"/>
  <c r="E26" i="35"/>
  <c r="E635" i="35"/>
  <c r="E639" i="35"/>
  <c r="E517" i="35"/>
  <c r="E569" i="35" l="1"/>
  <c r="E170" i="35"/>
  <c r="E683" i="35"/>
  <c r="E682" i="35"/>
  <c r="E678" i="35"/>
  <c r="E680" i="35"/>
  <c r="E684" i="35"/>
  <c r="E577" i="35" l="1"/>
  <c r="E578" i="35"/>
  <c r="E576" i="35"/>
  <c r="E470" i="35"/>
  <c r="E472" i="35"/>
  <c r="E482" i="35"/>
  <c r="E667" i="35" l="1"/>
  <c r="E647" i="35" l="1"/>
  <c r="E646" i="35"/>
  <c r="E645" i="35"/>
  <c r="E163" i="35" l="1"/>
  <c r="E164" i="35"/>
  <c r="E143" i="35"/>
  <c r="E168" i="35" l="1"/>
  <c r="E315" i="35"/>
  <c r="E344" i="35"/>
  <c r="E397" i="35" l="1"/>
  <c r="E341" i="35"/>
  <c r="E196" i="35"/>
  <c r="E321" i="35"/>
  <c r="E320" i="35"/>
  <c r="E319" i="35"/>
  <c r="E142" i="35"/>
  <c r="E141" i="35"/>
  <c r="E330" i="35" l="1"/>
  <c r="E329" i="35"/>
  <c r="E644" i="35" l="1"/>
  <c r="E666" i="35"/>
  <c r="E360" i="35"/>
  <c r="E408" i="35" l="1"/>
  <c r="E227" i="35"/>
  <c r="E21" i="35"/>
  <c r="E499" i="35" l="1"/>
  <c r="E679" i="35"/>
  <c r="E110" i="35"/>
  <c r="E119" i="35"/>
  <c r="E483" i="35" l="1"/>
  <c r="E458" i="35"/>
  <c r="E216" i="35"/>
  <c r="E213" i="35" l="1"/>
  <c r="E474" i="35"/>
  <c r="E149" i="35" l="1"/>
  <c r="E11" i="35" l="1"/>
  <c r="E17" i="35" l="1"/>
  <c r="E158" i="35"/>
  <c r="E314" i="35"/>
  <c r="E549" i="35"/>
  <c r="E415" i="35" l="1"/>
  <c r="E14" i="35"/>
  <c r="E438" i="35" l="1"/>
  <c r="E560" i="35" l="1"/>
  <c r="E540" i="35" l="1"/>
  <c r="E527" i="35"/>
  <c r="E520" i="35"/>
  <c r="E193" i="35"/>
  <c r="E190" i="35"/>
  <c r="E187" i="35"/>
  <c r="E192" i="35"/>
  <c r="E189" i="35"/>
  <c r="E186" i="35"/>
  <c r="E451" i="35"/>
  <c r="E442" i="35"/>
  <c r="E337" i="35" l="1"/>
  <c r="E336" i="35"/>
  <c r="E455" i="35"/>
  <c r="E453" i="35"/>
  <c r="E194" i="35"/>
  <c r="E191" i="35"/>
  <c r="E188" i="35"/>
  <c r="E428" i="35"/>
  <c r="E597" i="35"/>
  <c r="E609" i="35" l="1"/>
  <c r="E22" i="35" l="1"/>
  <c r="E599" i="35"/>
  <c r="E598" i="35"/>
  <c r="E333" i="35"/>
  <c r="E334" i="35"/>
  <c r="E503" i="35" l="1"/>
  <c r="E10" i="35" l="1"/>
  <c r="E670" i="35" l="1"/>
  <c r="E638" i="35"/>
  <c r="E655" i="35"/>
  <c r="E654" i="35"/>
  <c r="E650" i="35"/>
  <c r="E648" i="35"/>
  <c r="E437" i="35"/>
  <c r="E202" i="35" l="1"/>
  <c r="E3" i="35" l="1"/>
  <c r="E357" i="35"/>
  <c r="E4" i="35"/>
  <c r="E5" i="35"/>
  <c r="E359" i="35"/>
  <c r="E358" i="35"/>
  <c r="E561" i="35"/>
  <c r="E454" i="35"/>
  <c r="E452" i="35"/>
  <c r="E350" i="35"/>
  <c r="E349" i="35"/>
  <c r="E146" i="35"/>
  <c r="E150" i="35"/>
  <c r="E643" i="35" l="1"/>
  <c r="E220" i="35"/>
  <c r="E626" i="35" l="1"/>
  <c r="E657" i="35"/>
  <c r="E462" i="35"/>
  <c r="E228" i="35"/>
  <c r="E596" i="35" l="1"/>
  <c r="E112" i="35"/>
  <c r="E109" i="35"/>
  <c r="E108" i="35"/>
  <c r="E312" i="35" l="1"/>
  <c r="E311" i="35"/>
  <c r="E496" i="35" l="1"/>
  <c r="E494" i="35"/>
  <c r="E495" i="35"/>
  <c r="E601" i="35"/>
  <c r="E600" i="35"/>
  <c r="E493" i="35"/>
  <c r="E492" i="35"/>
  <c r="E610" i="35"/>
  <c r="E595" i="35"/>
  <c r="E225" i="35" l="1"/>
  <c r="E38" i="35"/>
  <c r="E538" i="35" l="1"/>
  <c r="E524" i="35"/>
  <c r="E521" i="35"/>
  <c r="E659" i="35"/>
  <c r="E111" i="35" l="1"/>
  <c r="E668" i="35" l="1"/>
  <c r="E606" i="35" l="1"/>
  <c r="E325" i="35" l="1"/>
  <c r="E611" i="35" l="1"/>
  <c r="E608" i="35"/>
  <c r="E632" i="35"/>
  <c r="E230" i="35"/>
  <c r="E139" i="35" l="1"/>
  <c r="E137" i="35"/>
  <c r="E297" i="35"/>
  <c r="E218" i="35"/>
  <c r="E669" i="35"/>
  <c r="E19" i="35" l="1"/>
  <c r="E401" i="35"/>
  <c r="E612" i="35" l="1"/>
  <c r="E673" i="35" l="1"/>
  <c r="E672" i="35"/>
  <c r="E674" i="35" l="1"/>
  <c r="E628" i="35" l="1"/>
  <c r="E361" i="35" l="1"/>
  <c r="E564" i="35"/>
  <c r="E138" i="35" l="1"/>
  <c r="E338" i="35" l="1"/>
  <c r="E223" i="35" l="1"/>
  <c r="E665" i="35" l="1"/>
  <c r="E664" i="35"/>
  <c r="E627" i="35" l="1"/>
  <c r="E465" i="35"/>
  <c r="E348" i="35" l="1"/>
  <c r="E140" i="35" l="1"/>
  <c r="E212" i="35" l="1"/>
  <c r="E209" i="35" l="1"/>
  <c r="E504" i="35" l="1"/>
  <c r="E352" i="35" l="1"/>
  <c r="E351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myriam valdés maraboli</author>
  </authors>
  <commentList>
    <comment ref="E261" authorId="0" shapeId="0" xr:uid="{14783BAE-2691-4158-8577-8558F2E968B4}">
      <text>
        <r>
          <rPr>
            <b/>
            <sz val="9"/>
            <color indexed="81"/>
            <rFont val="Tahoma"/>
            <family val="2"/>
          </rPr>
          <t>$450 SOBRE</t>
        </r>
      </text>
    </comment>
    <comment ref="E262" authorId="0" shapeId="0" xr:uid="{1BA167B8-53B5-4315-9EC5-F1B5050E3D8C}">
      <text>
        <r>
          <rPr>
            <b/>
            <sz val="9"/>
            <color indexed="81"/>
            <rFont val="Tahoma"/>
            <family val="2"/>
          </rPr>
          <t>$450 SOBRE</t>
        </r>
      </text>
    </comment>
    <comment ref="K324" authorId="0" shapeId="0" xr:uid="{9115A23D-2665-47AE-9542-E58CD21F049B}">
      <text>
        <r>
          <rPr>
            <b/>
            <sz val="9"/>
            <color indexed="81"/>
            <rFont val="Tahoma"/>
            <family val="2"/>
          </rPr>
          <t>SE PONE ESTA FECHA PARA EL CAMBIO DE PRECIO</t>
        </r>
      </text>
    </comment>
    <comment ref="K325" authorId="0" shapeId="0" xr:uid="{38D39B76-9289-49C9-A842-6AF53B311C2E}">
      <text>
        <r>
          <rPr>
            <b/>
            <sz val="9"/>
            <color indexed="81"/>
            <rFont val="Tahoma"/>
            <family val="2"/>
          </rPr>
          <t>SE PONE ESTA FECHA PARA EL CAMBIO DE PRECIO</t>
        </r>
      </text>
    </comment>
    <comment ref="K377" authorId="0" shapeId="0" xr:uid="{031E4923-97DB-40E9-A93F-CCB49341E9A0}">
      <text>
        <r>
          <rPr>
            <b/>
            <sz val="9"/>
            <color indexed="81"/>
            <rFont val="Tahoma"/>
            <family val="2"/>
          </rPr>
          <t xml:space="preserve">X CAMBIO DE PRECIO
</t>
        </r>
      </text>
    </comment>
    <comment ref="K386" authorId="0" shapeId="0" xr:uid="{3FA7933C-C885-4685-A343-4E3A13DFF164}">
      <text>
        <r>
          <rPr>
            <b/>
            <sz val="9"/>
            <color indexed="81"/>
            <rFont val="Tahoma"/>
            <family val="2"/>
          </rPr>
          <t xml:space="preserve">X CAMBIO DE PRECIO
</t>
        </r>
      </text>
    </comment>
    <comment ref="E462" authorId="0" shapeId="0" xr:uid="{4E16F7DE-8257-4713-8CB3-4FEA4693B2B5}">
      <text>
        <r>
          <rPr>
            <b/>
            <sz val="9"/>
            <color indexed="81"/>
            <rFont val="Tahoma"/>
            <family val="2"/>
          </rPr>
          <t>myriam valdés maraboli:</t>
        </r>
        <r>
          <rPr>
            <sz val="9"/>
            <color indexed="81"/>
            <rFont val="Tahoma"/>
            <family val="2"/>
          </rPr>
          <t xml:space="preserve">
1042 C IVA 13/10</t>
        </r>
      </text>
    </comment>
  </commentList>
</comments>
</file>

<file path=xl/sharedStrings.xml><?xml version="1.0" encoding="utf-8"?>
<sst xmlns="http://schemas.openxmlformats.org/spreadsheetml/2006/main" count="2128" uniqueCount="816">
  <si>
    <t xml:space="preserve">CODIGO </t>
  </si>
  <si>
    <t>DESCRICPION</t>
  </si>
  <si>
    <t>UXC</t>
  </si>
  <si>
    <t xml:space="preserve"> </t>
  </si>
  <si>
    <t>NETO</t>
  </si>
  <si>
    <t>RM00000000041</t>
  </si>
  <si>
    <t>SHAMPOO DE ALFOMBRAS 18X500CC</t>
  </si>
  <si>
    <t>OMO MATIC MULTIAC POLVO BLS 30X400GR</t>
  </si>
  <si>
    <t>RM00000000008</t>
  </si>
  <si>
    <t>PR00000000035</t>
  </si>
  <si>
    <t>RM00000000022</t>
  </si>
  <si>
    <t>RM00000000003</t>
  </si>
  <si>
    <t>SHAMPOO LIQ PARA AUTOS ZEUS 8X900 CC</t>
  </si>
  <si>
    <t>ANDESAL</t>
  </si>
  <si>
    <t>PROVEEDOR</t>
  </si>
  <si>
    <t>DERSA</t>
  </si>
  <si>
    <t>VELAS SUR</t>
  </si>
  <si>
    <t>EXCELL</t>
  </si>
  <si>
    <t>PANASONIC</t>
  </si>
  <si>
    <t>ROMMEL</t>
  </si>
  <si>
    <t>SOCORRO</t>
  </si>
  <si>
    <t>TRES BRUJAS</t>
  </si>
  <si>
    <t>ZEUS</t>
  </si>
  <si>
    <t>NAZAR NASSER</t>
  </si>
  <si>
    <t>ICB</t>
  </si>
  <si>
    <t>T435181490357</t>
  </si>
  <si>
    <t>PERSI Y RIBAS LTDA</t>
  </si>
  <si>
    <t>COM LIQ BYG SPA</t>
  </si>
  <si>
    <t>JABON POPEYE BEBE 40X170GR</t>
  </si>
  <si>
    <t>DAOS - GABY</t>
  </si>
  <si>
    <t>TMLUC</t>
  </si>
  <si>
    <t>RM00000000025</t>
  </si>
  <si>
    <t>RM00000000027</t>
  </si>
  <si>
    <t>FECHA
ULTIMA
COMPRA</t>
  </si>
  <si>
    <t>VIRGINIA</t>
  </si>
  <si>
    <t>COM V&amp;S SPA</t>
  </si>
  <si>
    <t>OVERSEA PARTNER</t>
  </si>
  <si>
    <t>RM00000000014</t>
  </si>
  <si>
    <t>JIMMY INDIA</t>
  </si>
  <si>
    <t>LABOCOCH</t>
  </si>
  <si>
    <t>G CTOC SPA</t>
  </si>
  <si>
    <t>VIRUTILLA DORADA GRANEL</t>
  </si>
  <si>
    <t>COM ANGELO</t>
  </si>
  <si>
    <t>TB00000000114</t>
  </si>
  <si>
    <t>RM00000000012</t>
  </si>
  <si>
    <t>MUIBON BURBUMILK 24X100GR</t>
  </si>
  <si>
    <t>ZUKO MELON TUNA 10X25GR</t>
  </si>
  <si>
    <t>ZUKO FRUTILLA 10X25G</t>
  </si>
  <si>
    <t>CERA PONY INCOLORA 50X220CC</t>
  </si>
  <si>
    <t>CERA GLORIA INCOLORA 30X400CC</t>
  </si>
  <si>
    <t>X</t>
  </si>
  <si>
    <t>RM00000000024</t>
  </si>
  <si>
    <t>RM00000000029</t>
  </si>
  <si>
    <t>RM00000000002</t>
  </si>
  <si>
    <t>RM00000000031</t>
  </si>
  <si>
    <t>RM00000000034</t>
  </si>
  <si>
    <t>RM00000000035</t>
  </si>
  <si>
    <t>RM00789687454</t>
  </si>
  <si>
    <t>RM00000000039</t>
  </si>
  <si>
    <t>RM00000000044</t>
  </si>
  <si>
    <t>RM00000000050</t>
  </si>
  <si>
    <t>RM00000000055</t>
  </si>
  <si>
    <t xml:space="preserve">RM00000000009 </t>
  </si>
  <si>
    <t>RM00000000056</t>
  </si>
  <si>
    <t>TB00000000160</t>
  </si>
  <si>
    <t>LIVEAN DURAZNO 10X7GR</t>
  </si>
  <si>
    <t>LIVEAN HUESILLO 10X7GR</t>
  </si>
  <si>
    <t>LIVEAN LIMONADA 10X7GR</t>
  </si>
  <si>
    <t>LIVEAN MELON TUNA 10X7GR</t>
  </si>
  <si>
    <t>LIVEAN PINA 10X7GR</t>
  </si>
  <si>
    <t>KILLER MATA TODO 12X560ML</t>
  </si>
  <si>
    <t>KILLER CASA Y JARDIN 12X560CC</t>
  </si>
  <si>
    <t>PROMO 2 LIMPIA PISO TRES BRUJAS LAVAN/PRIMAV</t>
  </si>
  <si>
    <t>HILO DENTAL FRESH UP BLISTERX2UN</t>
  </si>
  <si>
    <t>TB00000000025</t>
  </si>
  <si>
    <t>ZS08798785696</t>
  </si>
  <si>
    <t>YERBA MATE AMANDA SERRANA 10X500GR</t>
  </si>
  <si>
    <t>COM CHACAO SA</t>
  </si>
  <si>
    <t>PK02166046023</t>
  </si>
  <si>
    <t>PK02166036031</t>
  </si>
  <si>
    <t>RM00000000089</t>
  </si>
  <si>
    <t>RM00000000007</t>
  </si>
  <si>
    <t>PALA NEGRA CHICA ECONOM</t>
  </si>
  <si>
    <t>VIRUTILLA OLLA ROLLITOS GRANEL</t>
  </si>
  <si>
    <t>RM00000000032</t>
  </si>
  <si>
    <t>PLASTICOS CBM SPA</t>
  </si>
  <si>
    <t>MASCARILLA KN95 ANTIB X12UN</t>
  </si>
  <si>
    <t>RM00000000047</t>
  </si>
  <si>
    <t>MASCARILLA REUTILIZABLE BEIGE UNID</t>
  </si>
  <si>
    <t>DICAMM</t>
  </si>
  <si>
    <t>TRAPERO HUM VIRGINIA FLO 12X10U</t>
  </si>
  <si>
    <t>CENTRAL MAY</t>
  </si>
  <si>
    <t>TIC TAC MENTA INTENSA 12X16GR</t>
  </si>
  <si>
    <t>SANIBEL</t>
  </si>
  <si>
    <t>VELA MEDIANA BRIGHT 5 HRSX4U</t>
  </si>
  <si>
    <t>VELA GRANDE BRIGHT 9,5 HRSX4U</t>
  </si>
  <si>
    <t>ZUKO GUANABANA 10X20GR</t>
  </si>
  <si>
    <t>ZUKO LIMON DULCE 10X25GR</t>
  </si>
  <si>
    <t>PD KOTEX NORMAL 24X40UN</t>
  </si>
  <si>
    <t>TOA HUM EMU WIPES CON TAPA 18X80U</t>
  </si>
  <si>
    <t>TOA HUM EMU WIPES SIN TAPA 24X80U</t>
  </si>
  <si>
    <t>COLISEO</t>
  </si>
  <si>
    <t>YERBA MATE CON PALO COLISEO 20X500GR</t>
  </si>
  <si>
    <t>YERBA MATE CON PALO COLISEO 20X250GR</t>
  </si>
  <si>
    <t>KI00000000003</t>
  </si>
  <si>
    <t>MUIBON CHOCO MANI 12X100GR</t>
  </si>
  <si>
    <t>ACEITE VEGETAL LOS SILOS 12X900ML</t>
  </si>
  <si>
    <t>TOA NOVA CLASICA 8X3UX13MT</t>
  </si>
  <si>
    <t>GEL MALAQUITA TE ODIO CORONA 12X60ML</t>
  </si>
  <si>
    <t>SPRAY ALOE TE ODIO CORONA 6X100ML</t>
  </si>
  <si>
    <t>V435181490357</t>
  </si>
  <si>
    <t>ZUKO MANGO 10X25GR</t>
  </si>
  <si>
    <t>PILA ALCALINA AA EUROENERGY TIRA X10U</t>
  </si>
  <si>
    <t>PILA ALCALINA AAA EUROENERGY TIRA X10U</t>
  </si>
  <si>
    <t>FARM SEGAL</t>
  </si>
  <si>
    <t>KRYZPO QUESO 36X83GR</t>
  </si>
  <si>
    <t>TOA ELITE MAXI ROLLO DECO 10X2X22MT</t>
  </si>
  <si>
    <t>LAVALOZA VIRGINIA FCO 18X200ML</t>
  </si>
  <si>
    <t>PILA CARBON AA EUROENERGY JIRAFA 4X40U</t>
  </si>
  <si>
    <t>PK02166046085</t>
  </si>
  <si>
    <t>PK02166036093</t>
  </si>
  <si>
    <t>TOA HUM BABYSEC PREMIUM 10X45U</t>
  </si>
  <si>
    <t>LADYSOFT UD ROSADA C/A 24X8UN</t>
  </si>
  <si>
    <t>CERA LIQ AMARILLA ROMMEL 12X1LT</t>
  </si>
  <si>
    <t>CERA PINTURA ROJA ROMMEL 12X1LT</t>
  </si>
  <si>
    <t>CLORO ROPA COLOR ROMMEL 12X1LT</t>
  </si>
  <si>
    <t>DESENGRASANTE ROMMEL 12X1LT</t>
  </si>
  <si>
    <t>ELIMINA GARRAPATAS 12X1LT</t>
  </si>
  <si>
    <t>ELIMINA SARRO ROMMEL 12X1LT</t>
  </si>
  <si>
    <t>ESPONJA ACANALADA GRANEL</t>
  </si>
  <si>
    <t>ESPONJA LISA ECONOMICA GRANEL</t>
  </si>
  <si>
    <t>FUMIGACION DOMESTICA 12X1LT</t>
  </si>
  <si>
    <t>GUANTE AMARILLO ECO TALLA L</t>
  </si>
  <si>
    <t>MOPA CON PALO GRANEL</t>
  </si>
  <si>
    <t>VIRUTILLA LANA GRANEL</t>
  </si>
  <si>
    <t>VIRUTILLA OLLA METALICA GRANEL</t>
  </si>
  <si>
    <t>SOPAPO BANO GRANEL</t>
  </si>
  <si>
    <t>ESCOBILLA ZAPATO PACK PASTA/BRILLO</t>
  </si>
  <si>
    <t>PANO AMARILLO ECON GRANEL</t>
  </si>
  <si>
    <t>PASTILLA CLORO CHICA 1X50 GRANEL</t>
  </si>
  <si>
    <t>TRAPERO BLANCO OJAL 50X70CM GRANEL</t>
  </si>
  <si>
    <t>VANISH BLANCO S/CLORO SACHET 12X30GR</t>
  </si>
  <si>
    <t>VANISH COLOR S/CLORO SACHET 12X30GR</t>
  </si>
  <si>
    <t>VIRUTILLA PISO N4 ROMMEL GRANEL</t>
  </si>
  <si>
    <t>VIRUTILLA PISO N6 ROMMEL GRANEL</t>
  </si>
  <si>
    <t>KILLER MATA MOSCA Y ZANCU 12X560CC</t>
  </si>
  <si>
    <t>BETUN PASTA VIRGINIA CAFE 4X12X88ML</t>
  </si>
  <si>
    <t>BETUN LIQ VIRGINIA NEGRO 12X60ML</t>
  </si>
  <si>
    <t>BETUN LIQ VIRGINIA CAFE 12X60ML</t>
  </si>
  <si>
    <t>VIRUTILLA OLLA ROLLITOS PCK25U</t>
  </si>
  <si>
    <t>ACEITE PARRAL 12X750ML</t>
  </si>
  <si>
    <t>MUIBON FLOW LECHE 12X48GR</t>
  </si>
  <si>
    <t>MUIBON LECHE 6X145GR</t>
  </si>
  <si>
    <t>x</t>
  </si>
  <si>
    <t>PILA CARBON AAA EUROENERGY 2X40U</t>
  </si>
  <si>
    <t>PILA CARBON C EUROENERGY 2X24U</t>
  </si>
  <si>
    <t>PILA CARBON D EUROENERGY 6PAR</t>
  </si>
  <si>
    <t>TOA ABOLENGO XL 6X1X100MT</t>
  </si>
  <si>
    <t>LADYSOFT NORMAL C/A 24X8UN</t>
  </si>
  <si>
    <t>PALA MEDIANA AZUL 1X24U</t>
  </si>
  <si>
    <t>LAVALOZA DERSA 12X1LT</t>
  </si>
  <si>
    <t>LAVALOZA DERSA 24X500ML</t>
  </si>
  <si>
    <t>DURAZNO WASIL 16X500GR</t>
  </si>
  <si>
    <t>ENCENDEDOR SPEED TRANSP 1X25U</t>
  </si>
  <si>
    <t>GOLD TENTATION CAPUCCINO 8X37GR</t>
  </si>
  <si>
    <t>GOLD TENTATION CARAMEL LATTE 8X37GR</t>
  </si>
  <si>
    <t>PILAS D PANASONIC CARBON 24U</t>
  </si>
  <si>
    <t>REC FRESH ROOM AFTER REIN 24X250ML</t>
  </si>
  <si>
    <t>REC FRESH ROOM LAVANDA 24X250ML</t>
  </si>
  <si>
    <t>AMONIO CUATER GATILLO EXCELL 12X500CC</t>
  </si>
  <si>
    <t>AMPOLLETA LED BRIGHT 70WX10U</t>
  </si>
  <si>
    <t>B BASURA ROMMEL 50X70X10U</t>
  </si>
  <si>
    <t>BASTONCITOS DE ALGODON 1X100U</t>
  </si>
  <si>
    <t>CAFE GOLD DESCAFEINADO 6X100GR</t>
  </si>
  <si>
    <t>CAFE GOLD DESCAFEINADO 6X170GR</t>
  </si>
  <si>
    <t>CAFE GOLD TRAD 6X100GR</t>
  </si>
  <si>
    <t>CAFE GOLD TRAD 6X170GR</t>
  </si>
  <si>
    <t>CAFE MONTERREY 12X50GR</t>
  </si>
  <si>
    <t>CAFE MONTERREY DESCAF 12X50GR</t>
  </si>
  <si>
    <t>CALZON ADULTO SELPED PANT T-M 66X106CMX20UN</t>
  </si>
  <si>
    <t>CALZON ADULTO SELPED PANT T-L 96X137CMX18UN</t>
  </si>
  <si>
    <t>CEPILLO DIENTE ADUL TRAD FRESH UP2X12UN</t>
  </si>
  <si>
    <t>CEPILLO DIENTE ADUL SILICONA MED FRESH UP 12X24U</t>
  </si>
  <si>
    <t>CEPILLO DIENTE KIDS PINGUINO 12X12UN</t>
  </si>
  <si>
    <t>CERA BARNIZ AUTOB INCOL 12X990CC</t>
  </si>
  <si>
    <t>CERA DEPILAT EN PERLAS KADUS 10X100G</t>
  </si>
  <si>
    <t>CERA DEPILAT EN TARRO 6X200G</t>
  </si>
  <si>
    <t>CERA PINTURA ROJA EXCELL 900CCX12U</t>
  </si>
  <si>
    <t>CLORO TRES BRUJAS 6X5LTS</t>
  </si>
  <si>
    <t>CLOROGEL FLORAL IGENIX 10X900ML</t>
  </si>
  <si>
    <t>CLOROGEL LAVANDA IGENIX 10X900ML</t>
  </si>
  <si>
    <t xml:space="preserve">DET DERSA FLORAL 20X1KG       </t>
  </si>
  <si>
    <t>DET DERSA FLORAL 36X200GR</t>
  </si>
  <si>
    <t xml:space="preserve">DET DERSA FLORAL 24X400GR        </t>
  </si>
  <si>
    <t xml:space="preserve">DET DERSA LAVANDA 20X1KG             </t>
  </si>
  <si>
    <t>DET DERSA LAVANDA 36X200GR</t>
  </si>
  <si>
    <t xml:space="preserve">DET DERSA LAVANDA 24X400GR </t>
  </si>
  <si>
    <t xml:space="preserve">DET DERSA LIMON 20X1KG  </t>
  </si>
  <si>
    <t>DET DERSA LIMON 36X200GR</t>
  </si>
  <si>
    <t xml:space="preserve">DET DERSA LIMON 24X400GR       </t>
  </si>
  <si>
    <t>DISFRUTA LIMON 60X5GR</t>
  </si>
  <si>
    <t>EMBUDO BLANCO 12X14CM</t>
  </si>
  <si>
    <t>ENDULZANTE STEVIA DAILY 36X270ML</t>
  </si>
  <si>
    <t>ENJUAGUE TUTTI FRUTTI  FRESH UP NINOS 24X250ML</t>
  </si>
  <si>
    <t>ESCOBILLA OVALADA 40U</t>
  </si>
  <si>
    <t>ESCOBILLON INTERIOR BRIGHT 1X36</t>
  </si>
  <si>
    <t>FILM PLASTICO ADHE BRIGHT 50X15MTS</t>
  </si>
  <si>
    <t>GEL ALOE TE ODIO CORONA 12X60ML</t>
  </si>
  <si>
    <t>GEL ALOE TE ODIO CORONA 6X1LT</t>
  </si>
  <si>
    <t>GEL DUO FOR MEN FUERTE 12X500GR</t>
  </si>
  <si>
    <t>GEL DUO EXTRA FUERTE 12X500GR</t>
  </si>
  <si>
    <t>GEL EXTRA FUERTE KADUS 12X500GR</t>
  </si>
  <si>
    <t>GEL MALAQUITA TE ODIO CORONA 6X1LT</t>
  </si>
  <si>
    <t>GOLD TENTATION LATTE VAINILLA 8X36GR</t>
  </si>
  <si>
    <t>GRANUTS MANI JAPONES 12X40GR</t>
  </si>
  <si>
    <t>GRANUTS MANI SALADO 12X40GR</t>
  </si>
  <si>
    <t>JABON ROPA AZUL GABY 40X200GR</t>
  </si>
  <si>
    <t>JABON ROPA VERDE GABY 40X200GR</t>
  </si>
  <si>
    <t>JABON BARRA AZUL LUX 12X80GR</t>
  </si>
  <si>
    <t>JABON WHITE IMP BLCO LUX 12X80GR</t>
  </si>
  <si>
    <t>KADUS ALCOHOL GEL S/ENJUAGUE 2X5LT</t>
  </si>
  <si>
    <t>KRYZPO ORIGINAL 12X130GR</t>
  </si>
  <si>
    <t>KRYZPO ORIGINAL 6X37GR</t>
  </si>
  <si>
    <t>KRYZPO PIZZA 6X37GR</t>
  </si>
  <si>
    <t>KRYZPO CREMA CEBOLLA 12X130GR</t>
  </si>
  <si>
    <t>KRYZPO QUESO 12X260GR</t>
  </si>
  <si>
    <t>KRYZPO QUESO 10X130GR</t>
  </si>
  <si>
    <t>LAVALOZA DERSA 4X4000ML</t>
  </si>
  <si>
    <t>LIMPIA PISO CHOCOLATE EXCELL 12X900CC</t>
  </si>
  <si>
    <t>LIMPIA PISOS PRIMAVERA TRES BRUJAS 10X900CC</t>
  </si>
  <si>
    <t>LIMPIA PISOS LAVANDA TRES BRUJAS 2X5LT</t>
  </si>
  <si>
    <t>LIMPIADOR+ABR FLOR CEREZOS EXCELL 12X900CC</t>
  </si>
  <si>
    <t>LIMPIADOR+ABR LAVANDA EXCELL 12X900CC</t>
  </si>
  <si>
    <t>LIMPIA PISO PORCELANATO EXCELL 12X900ML</t>
  </si>
  <si>
    <t>LIMPIA PISO MULTI LAV DERSA 12X1LT</t>
  </si>
  <si>
    <t>LIMPIA PISO MULTI LAV DERSA 24X500CC</t>
  </si>
  <si>
    <t>LIMPIA PISO MULTI LAV DERSA 48X200CC</t>
  </si>
  <si>
    <t>LIMPIADOR PF ALMENDRA EXCELL 12X900CC</t>
  </si>
  <si>
    <t>LIMPIADOR PF FRUTOS BOSQUE  EXCELL 12X900CC</t>
  </si>
  <si>
    <t>MAQ (A)AFEITAR NORMAL SCHICK XTREME3 1X12U</t>
  </si>
  <si>
    <t>MAQ QUATTRO WOMEN SENSIB SHICK 1X12U</t>
  </si>
  <si>
    <t>MAQ FEM HAWAIIAN TROPIC SHICK XTREME3 1X12U</t>
  </si>
  <si>
    <t>INSECT ARANA  HOME SW H 6X360ML</t>
  </si>
  <si>
    <t>INSECT MOSCA HOME SW H 6X360ML</t>
  </si>
  <si>
    <t>INSECT TODO HOME SW H 6X360ML</t>
  </si>
  <si>
    <t>MENTOS KISS FRUIT 12X35GR</t>
  </si>
  <si>
    <t>MY CAR AUTO AROMA CITRICO 24X10GR</t>
  </si>
  <si>
    <t>OMO HS TRADICIONAL 30X400GR</t>
  </si>
  <si>
    <t>P ADULTO PLENITUD T-M 4X22U</t>
  </si>
  <si>
    <t>P ADULTO PLENITUD T-M 8X8U</t>
  </si>
  <si>
    <t>PACK DERSA FLORAL 400GR+LIMP MULT 40ML X12U</t>
  </si>
  <si>
    <t xml:space="preserve">PACK DERSA FLORAL 1K+DET LIMON 200GR X20U             </t>
  </si>
  <si>
    <t xml:space="preserve">PACK DERSA LIMON 1K+DET LIMON 20X200GR               </t>
  </si>
  <si>
    <t>PACK DERSA LIMON 400GR+LIMP MUL 40ML X20U</t>
  </si>
  <si>
    <t>P ADULTO T-M SELPED 8X20U</t>
  </si>
  <si>
    <t>P ADULTO T-L SELPED 8X18U</t>
  </si>
  <si>
    <t>P BABYSEC PREMIUM XG 8X14U</t>
  </si>
  <si>
    <t>P HUGGIES ACT SEC XG 6X16U</t>
  </si>
  <si>
    <t>P PAMPERS CONFORT SEC G 8X20U</t>
  </si>
  <si>
    <t>P PAMPERS CONFORT SEC XG 8X16U</t>
  </si>
  <si>
    <t>PAPEL ALUMINIO BRIGHT LIGHT 20X6MTS</t>
  </si>
  <si>
    <t>PASTA DIENTE REGULAR FRESH UP 20X50GRS</t>
  </si>
  <si>
    <t>PASTA DIENTE PROT CARIES PEPSODENT 18X3X130G</t>
  </si>
  <si>
    <t>PASTA DIENTE TRIPLE AC PEPSODENT 18X3X90G</t>
  </si>
  <si>
    <t>PH CONFORT DH ACOLC 12X4X22MT</t>
  </si>
  <si>
    <t>PH ELITE DH ACOLC 8X4X50MT</t>
  </si>
  <si>
    <t>PH FAVORITA DH ACOLC 12X4X22MT</t>
  </si>
  <si>
    <t>PH SCOTT AROMAS 8X6X22MT</t>
  </si>
  <si>
    <t>PH SCOTT DH RINDEMAX 12X4X22MT</t>
  </si>
  <si>
    <t>PH SWAN DH ULTRA BCO 12X4X22MT</t>
  </si>
  <si>
    <t>PH SWAN DH ULTRA BCO 8X6X22MT</t>
  </si>
  <si>
    <t>PILA DURACELL AA TIRA X12U</t>
  </si>
  <si>
    <t>PILA DURACELL AAA TIRA X6U</t>
  </si>
  <si>
    <t>PRESERVAT RECARE VERDE 12XCJ</t>
  </si>
  <si>
    <t>PRESERVAT TUTTI FRUTTI RECARE 12XCJ</t>
  </si>
  <si>
    <t>PROT CAMA SELPED 60X90CM</t>
  </si>
  <si>
    <t>QUITAESMALTE OLEOSO HERBAL 12X110ML</t>
  </si>
  <si>
    <t>QUITAESMALTE OLEOSO LIMON 12X110ML</t>
  </si>
  <si>
    <t>QUITAESMALTE OLEOSO NORMAL 12X110ML</t>
  </si>
  <si>
    <t>QUIX LAVALOZA LIMON 12X750ML</t>
  </si>
  <si>
    <t>QUIX LAVALOZA LIMON 18X200ML</t>
  </si>
  <si>
    <t>REC GREEN WORLD BUBBLE GUM 12X250ML</t>
  </si>
  <si>
    <t>REC GREEN WORLD DELICATE LILY 12X250ML</t>
  </si>
  <si>
    <t>REC GREEN WORLD LAVANDER CAMOMILLA 12X250ML</t>
  </si>
  <si>
    <t>REC GREEN WORLD LIME Y ORANGE 12X250ML</t>
  </si>
  <si>
    <t>REC GREEN WORLD MESSAGE FROM OCEAN 12X250ML</t>
  </si>
  <si>
    <t>REC AIRE DE MONTANA BRIGHT 12X250ML</t>
  </si>
  <si>
    <t>REC ANTI TABACO BRIGHT 12X250ML</t>
  </si>
  <si>
    <t>REC BRISA MEDITER BRIGHT 12X250ML</t>
  </si>
  <si>
    <t>REC CITRICO BRIGHT 12X250ML</t>
  </si>
  <si>
    <t>REC ESENCIA DE MAR BRIGHT 12X250ML</t>
  </si>
  <si>
    <t>REC FRUIT MIX BRIGHT 12X250ML</t>
  </si>
  <si>
    <t>REC GEL ALOE TE ODIO CORONA 2X5LT</t>
  </si>
  <si>
    <t>REC GREEN WORD SWEET DREAM 12X250ML</t>
  </si>
  <si>
    <t>REC LAVANDA BRIGHT 12X250ML</t>
  </si>
  <si>
    <t>REC MANZANA CANELA BRIGHT 12X250ML</t>
  </si>
  <si>
    <t>REC MORNING RAIN BRIGHT 12X250ML</t>
  </si>
  <si>
    <t>REMOVEDOR DE ABRILLANT PF EXCELL 12X900ML</t>
  </si>
  <si>
    <t>SPRAY ALOE TE ODIO CORONA 6X1LT</t>
  </si>
  <si>
    <t>SPRAY MALAQUITA TE ODIO CORONA 6X1LT</t>
  </si>
  <si>
    <t>TAMPON KOTEX REGULAR 16X8U</t>
  </si>
  <si>
    <t>TAMPON KOTEX SUPER PLUS 16X8U</t>
  </si>
  <si>
    <t>TAMPON LADYSOFT REGULAR 12X8U</t>
  </si>
  <si>
    <t>TAMPON LADYSOFT SUPER 12X8U</t>
  </si>
  <si>
    <t>TAMPON LADYSOFT SUPER PLUS 12X8U</t>
  </si>
  <si>
    <t>TAPSIN DIA 60X5GR</t>
  </si>
  <si>
    <t>TAPSIN NOCHE AZUL 60X5GR</t>
  </si>
  <si>
    <t>TE CLUB ORIGINAL AZUL 10X20BLS</t>
  </si>
  <si>
    <t>TE ORJAS CANELA 12X30G</t>
  </si>
  <si>
    <t>TE ORJAS INSTANTANEO 12X36GR</t>
  </si>
  <si>
    <t>TE ORJAS LIMON 12X30G</t>
  </si>
  <si>
    <t>TE SAN MARTIN BOLSITAS 12X100BLS</t>
  </si>
  <si>
    <t>TF KOTEX NORMAL DIA TELA 48X8U</t>
  </si>
  <si>
    <t>TINTURA RIZZO N5 CASTANO CLARO X24U</t>
  </si>
  <si>
    <t>TINTURA RIZZO N6 RUBIO OSCURO INTENSO X24U</t>
  </si>
  <si>
    <t>TINTURA RIZZO N7 RUBIO X24U</t>
  </si>
  <si>
    <t>TINTURA RIZZO N8 RUBIO CLARO X24U</t>
  </si>
  <si>
    <t>TINTURA RIZZO N8.66 ROJO MAXIMO X24U</t>
  </si>
  <si>
    <t>TINTURA RIZZO N9.1 RUBIO MUY CLARO CENIZA X24U</t>
  </si>
  <si>
    <t>TINTURA RIZZO N4 CASTANO X24U</t>
  </si>
  <si>
    <t>AC TIO NACHO ENGROSADOR 12X415ML</t>
  </si>
  <si>
    <t>TOA ELITE DOBLADA LAMINADA DH 18X200U</t>
  </si>
  <si>
    <t>TF DIA UD FRESH UP 36X8U</t>
  </si>
  <si>
    <t>TF NOCTURNA UF FRESH UP 36X8U</t>
  </si>
  <si>
    <t>TOA HUM BEBIKO 12X72U</t>
  </si>
  <si>
    <t>TOA INDUS MISIFU 2XL DH ACOL 6X100MT</t>
  </si>
  <si>
    <t>TOA INDUSTRIAL ROMMEL 4X100MT</t>
  </si>
  <si>
    <t>TOA HUM ANTISEPTICA FRESH UP CLEAN 12X10U</t>
  </si>
  <si>
    <t>TOA HUM ANTISEPTICA FRESH UP CLEAN 12X50U</t>
  </si>
  <si>
    <t>TRAPERO HUM VIRGINIA MAN VERDE 12X10U</t>
  </si>
  <si>
    <t>TRAPERO HUM CLAS PRIM EXCELL 12X10U</t>
  </si>
  <si>
    <t>TRAPERO HUM PF LAV EXCELL 12X10U</t>
  </si>
  <si>
    <t>TRAPERO HUM PF PRIM EXCELL 12X10U</t>
  </si>
  <si>
    <t>VELAS TEA LIGTH 1X25U</t>
  </si>
  <si>
    <t>VINAGRE MANZANA 10X500ML</t>
  </si>
  <si>
    <t>VINAGRE VINO TINTO 10X250ML</t>
  </si>
  <si>
    <t>VIRUTILLA LIQ EXCELL 12X900CC</t>
  </si>
  <si>
    <t>VIRUTILLA OLLA FINA CON JAB GRANEL</t>
  </si>
  <si>
    <t>VIRUTILLA OLLA FINA CON JAB PCK25U</t>
  </si>
  <si>
    <t>DESO AMB BRIGHT AIRE MONTANA 12X400ML</t>
  </si>
  <si>
    <t>DESO AMB BRIGHT ANTI TABACO 12X400ML</t>
  </si>
  <si>
    <t>DESO AMB BRIGHT BRISA MEDITER 12X400ML</t>
  </si>
  <si>
    <t>DESO AMB BRIGHT CITRICO 12X400ML</t>
  </si>
  <si>
    <t>DESO AMB BRIGHT FRUIT MIX 12X400ML</t>
  </si>
  <si>
    <t>DESO AMB BRIGHT LAVANDA 12X400ML</t>
  </si>
  <si>
    <t>DESO AMB FRESH ROOM MONTANA 12X300ML</t>
  </si>
  <si>
    <t>DESO AMB FRESH ROOM OCEANO 12X300ML</t>
  </si>
  <si>
    <t>P BABYSEC PREMIUM T-XXG 8X14U</t>
  </si>
  <si>
    <t>CAFE GOLD TARRO 12X50GR</t>
  </si>
  <si>
    <t>DESO AMB CITRICA AROM 12X225ML</t>
  </si>
  <si>
    <t>DESO AMB VAINILLA AROM 12X225ML</t>
  </si>
  <si>
    <t>LUSTRA MUEBLES LAV EXCELL 12X250CC</t>
  </si>
  <si>
    <t>LUSTRA MUEBLES LAV EXCELL 15X500CC</t>
  </si>
  <si>
    <t>DIMAK</t>
  </si>
  <si>
    <t xml:space="preserve">REXONA INVISIBLE WOMAN 12X50GR </t>
  </si>
  <si>
    <t>REXONA MEN STICK AP INVISIBLE 12X50GR</t>
  </si>
  <si>
    <t>EDRAN ESENCIA VAINILLA 15X100ML</t>
  </si>
  <si>
    <t>GOURMET</t>
  </si>
  <si>
    <t>AJI DE COLOR MOLIDO 50/15GR</t>
  </si>
  <si>
    <t>MERQUEN 50X15GR</t>
  </si>
  <si>
    <t>ROMERO DESHIDRATADO 50X10GR</t>
  </si>
  <si>
    <t>JENGIBRE MOLIDO 50X15GR</t>
  </si>
  <si>
    <t>CLAVO DE OLOR 50X5GR</t>
  </si>
  <si>
    <t>ALIÑO COMPLETO 50X15GR</t>
  </si>
  <si>
    <t>BALL JAB CREMA HUMECT DP 10X900ML HOR</t>
  </si>
  <si>
    <t>BALL JAB ENERGY DP 12X750ML 2022</t>
  </si>
  <si>
    <t>BALL JAB RELAX DP 12X750ML 2022</t>
  </si>
  <si>
    <t>BALL JAB MAQUI &amp; AÇAI DP 12X750ML 2022</t>
  </si>
  <si>
    <t>BALL JAB CREM PIELSENS DP 12X750ML 2022</t>
  </si>
  <si>
    <t>BALL JAB HIPOALERGENICO FR 12X350ML</t>
  </si>
  <si>
    <t>BALL JABON YOGHURT ARANDANOS FR 500ML</t>
  </si>
  <si>
    <t>BALL JABON AVENA ALMENDRA FCO 1L</t>
  </si>
  <si>
    <t>BALL JABON YOGHURT ARANDANOS FR 1L</t>
  </si>
  <si>
    <t>BALL JABON KARITÉ 1L</t>
  </si>
  <si>
    <t>BALL JABON PH 5 FCO 500ML</t>
  </si>
  <si>
    <t>BALL JABON KARITÉ FCO 500ML</t>
  </si>
  <si>
    <t>BALL GEL PARA MANOS POMO 220ML 12UNXCJ</t>
  </si>
  <si>
    <t>BALL SH SIN SAL GRANADA FR 750ml 10XCJ</t>
  </si>
  <si>
    <t>BALL SH SIN SAL PALTA ALMENDRA FR 750ML</t>
  </si>
  <si>
    <t>BALL SH SIN SAL COCO JAZ FR 750ML 10XCJ</t>
  </si>
  <si>
    <t>BALL AC MANZANILLA FR 750ML 10XCJ</t>
  </si>
  <si>
    <t>BALL AC SIN SAL GRANADA FR 750ml 10XCJ</t>
  </si>
  <si>
    <t>BALL AC SIN SAL PALTA ALMENDRA FR 750ML</t>
  </si>
  <si>
    <t>BALL AC COCO JAZMIN FR 10X750ML 2022 NVO</t>
  </si>
  <si>
    <t>SUAVELINA AC MANZANILLA FR 10X1000ML</t>
  </si>
  <si>
    <t>SUAVELINA SH GRANADA DP 12X750ML</t>
  </si>
  <si>
    <t>SUAVELINA SH MANZANILLA DP 12X750ML</t>
  </si>
  <si>
    <t>UMAI CREM HID PROF  200ML 12XCJ</t>
  </si>
  <si>
    <t>UMAI CREM HIDRATACION  200ML 12XCJ</t>
  </si>
  <si>
    <t>FUZOL DET COLOR DP 3000ML 4UN X CJ</t>
  </si>
  <si>
    <t xml:space="preserve">FUZOL DET PIEL DELICADA  DP 12X1LXCJ </t>
  </si>
  <si>
    <t>FUZOL DET+SUAV DP 1000ML 12UN X CJ</t>
  </si>
  <si>
    <t>FUZOL SUAV PIEL SENSIBLE DP 12X1000ML</t>
  </si>
  <si>
    <t>FUZOL SUAV COLOR PLUS DP 12X1000ML</t>
  </si>
  <si>
    <t>FUZOL SUAV CLASIC DP 12X1000ML</t>
  </si>
  <si>
    <t>FUZOL SUAV PRIMAVERA DP 10X1000ML</t>
  </si>
  <si>
    <t>FUZOL SUAV PRIMAVERA FR 6X2000ML</t>
  </si>
  <si>
    <t>FUZOL LAVALOZAS BIO FR 750ML 12XCJ</t>
  </si>
  <si>
    <t>FUZOL LIMPIADOR COCINA DP 10X1000ML</t>
  </si>
  <si>
    <t>FUZOL LIMPIADOR BAÑO DP 10X1000ML</t>
  </si>
  <si>
    <t>FUZOL LIMP COCINA ANTIGRASA DP 500ml</t>
  </si>
  <si>
    <t>FUZOL PRELAVADO DP 12X1000ML</t>
  </si>
  <si>
    <t>FUZOL BLANQUEADOR 20U X 20G</t>
  </si>
  <si>
    <t>BABYLEE JAB DP 900 ML HOR 10XCJ</t>
  </si>
  <si>
    <t>BABYLEE SH MANZANILLA FR 400ML 12XCJ</t>
  </si>
  <si>
    <t>BABYLEE AC MANZANILLA DP 900ML 10XCJ</t>
  </si>
  <si>
    <t>BABYLEE AC MANZANILLA FR 400ML 12XCJ</t>
  </si>
  <si>
    <t>BABYLEE SUAV VAINILLA DP 10X1000ML</t>
  </si>
  <si>
    <t>BABYLEE SPRAY RIZOS FR 200ML 12XCJ</t>
  </si>
  <si>
    <t>BABYLEE AC FR PROLONG  400ML 12XCJ</t>
  </si>
  <si>
    <t>BABYLEE BAÑO ESPUMA   400ML 12XCJ</t>
  </si>
  <si>
    <t>BABYLEE SH MANZANILLA DP 12X750ML 2022</t>
  </si>
  <si>
    <t>ARENA SANIT AGLUTINA BRIGHT LAV 2KG</t>
  </si>
  <si>
    <t>AGUA OXIGENADA ESTABILIZADORA LIQ 110CC</t>
  </si>
  <si>
    <t>ACEITE VEGETAL CAMPO LINDO 12X900CC</t>
  </si>
  <si>
    <t>LIQ PALMA SPA</t>
  </si>
  <si>
    <t>TE SAN MARTIN GOLD GRANEL 250GR</t>
  </si>
  <si>
    <t>LADYSOFT NOCT TELA SUAVE C/A 24X7UN</t>
  </si>
  <si>
    <t>PH INDUSTRIAL HS WINROLL 6X300MT</t>
  </si>
  <si>
    <t>SCHICK QUATTRO TITANIUM X10UN</t>
  </si>
  <si>
    <t>BON BON BUM CON CHICLE SURTIDO GRANEL</t>
  </si>
  <si>
    <t>PH SWAN DH ULTRA BCO 8X4X50MT</t>
  </si>
  <si>
    <t>BETUN NEGRO SAPOLIO12X88ML</t>
  </si>
  <si>
    <t>LOMITO ATUN DORASOL AGUA 48X162GR</t>
  </si>
  <si>
    <t>BABYLEE SH AROMA INFINITO  FR 12X250ML 12XCJ</t>
  </si>
  <si>
    <t>BABYLEE AC RIZOS FR 12X250ML 12XCJ</t>
  </si>
  <si>
    <t>HUEVITOS DE CHOCO MACIZOS 140GR</t>
  </si>
  <si>
    <t>HUEVITOS DE AVELLANA 20X140GR</t>
  </si>
  <si>
    <t>HUEVITOS BURBUMILK 20X140GR</t>
  </si>
  <si>
    <t>SASONADOR PARA ARROZ GOURMET 48X5X8GR</t>
  </si>
  <si>
    <t>DET TRES BRUJAS AZUL 5L (1 A 9 UNID)</t>
  </si>
  <si>
    <t>DET TRES BRUJAS VERDE 5L (1 A 9 UNID)</t>
  </si>
  <si>
    <t>LIMPIA PISOS TRES BRUJAS PRIMAV 5LT</t>
  </si>
  <si>
    <t>PH CONFORT DH ACOLC 8X6X25MT</t>
  </si>
  <si>
    <t>TODAY</t>
  </si>
  <si>
    <t>TRAPERO HUM CLAS LAV EXCELL 10X10U</t>
  </si>
  <si>
    <t>LUCCHETTI ESPIRALES 12X400GR</t>
  </si>
  <si>
    <t>LUCCHETTI ESPIRALES TR3S 24X400GR</t>
  </si>
  <si>
    <t>LUCCHETTI DEDALITOS 12X250GR</t>
  </si>
  <si>
    <t>LUCCHETTI MOSTACHOLI 12X400GR</t>
  </si>
  <si>
    <t>LUCCHETTI SALSA ITALIANA 24X20GR</t>
  </si>
  <si>
    <t>LUCCHETTI SALSA NATURAL 24X20GR</t>
  </si>
  <si>
    <t>LUCCHETTI TALLARINES 5 24X400GR</t>
  </si>
  <si>
    <t>LUCCHETTI TALLARINES TR3S 5 24X400GR</t>
  </si>
  <si>
    <t>KRYZPO WAVY SAL DE MAR 6X33GR</t>
  </si>
  <si>
    <t>KRYZPO WAVY CHEDDAR 6X33GR</t>
  </si>
  <si>
    <t>LUCCHETTI CARACOLES 12X400GR</t>
  </si>
  <si>
    <t>MUIBON GALLETA CHOCO MALVA 24X81GR</t>
  </si>
  <si>
    <t>MUIBON GALLETA CHOCO TWIST 20X153GR</t>
  </si>
  <si>
    <t>MUIBON GALLETA CHOCO TWIST PK 8X32GR</t>
  </si>
  <si>
    <t>LUCCHETTI CORBATAS 12X400GR</t>
  </si>
  <si>
    <t>LUCCHETTI CORBATAS TR3S 12X400GR</t>
  </si>
  <si>
    <t>LUCCHETTI QUIFAROS 12X400GR</t>
  </si>
  <si>
    <t>LUCCHETTI RIGATTI 12X400GR</t>
  </si>
  <si>
    <t>DET IGENIX PARA DILUIR 12X500ML</t>
  </si>
  <si>
    <t>LECHE NIDO 6X1350GR</t>
  </si>
  <si>
    <t>AZUCAR IANSA 20X1KL</t>
  </si>
  <si>
    <t>JUREL NOVAMAR 24X425GR</t>
  </si>
  <si>
    <t>TEBA</t>
  </si>
  <si>
    <t>CREMA DE LECHE NESTLE 48X159GR</t>
  </si>
  <si>
    <t>LAVALOZA TODAY 12X750ML</t>
  </si>
  <si>
    <t>MCP</t>
  </si>
  <si>
    <t>ZUKO PINA 10X20G</t>
  </si>
  <si>
    <t>ZUKO FRAMBUEZA 10X20G</t>
  </si>
  <si>
    <t>GOLD TENTATION CAPUCCINO 1X37GR</t>
  </si>
  <si>
    <t>CAFE GOLD DESCAFEINADO 6X50GR</t>
  </si>
  <si>
    <t>CALDO VERDURAS EN POLVO TIRA 8CX10U</t>
  </si>
  <si>
    <t>CERA BRILLINA INCOLORA 12X340G</t>
  </si>
  <si>
    <t>CERA BRILLINA ROJA 12X340GR</t>
  </si>
  <si>
    <t>CERA BRILLINA TIERRA COL 12X340GR</t>
  </si>
  <si>
    <t>TRAPERO HUMEDO HOME CLEANER 24X10U</t>
  </si>
  <si>
    <t>IMP COM VARGAS</t>
  </si>
  <si>
    <t>DURAZNOS MITADES EL VERGEL 415GR</t>
  </si>
  <si>
    <t>BALL JAB VIOLETAS SILV DP 12X750ML</t>
  </si>
  <si>
    <t>BALLERINA</t>
  </si>
  <si>
    <t>BALL JAB HIPOALERGENI DP 12X750ML</t>
  </si>
  <si>
    <t>BALL JAB YOG BERRIES DP 12X750ML</t>
  </si>
  <si>
    <t xml:space="preserve">BALL SH SIN SAL PALTA DP 12X750ML </t>
  </si>
  <si>
    <t>BALL SH VOLUMEN DP 12X750ML</t>
  </si>
  <si>
    <t>BALL SH MANZANILLA DP 12X750ML</t>
  </si>
  <si>
    <t>FUZOL DETPDILUIR FORTEBIO DP 12X500ML</t>
  </si>
  <si>
    <t xml:space="preserve">BALL SH FUERZA PLAT CAFE DP 12X750ML </t>
  </si>
  <si>
    <t>BETUN PASTA VIRGINIA CAFE 12X17ML</t>
  </si>
  <si>
    <t>PH SCOTT DH RINDEMAX 8X6X22MT</t>
  </si>
  <si>
    <t>SUAV DERSA PRIMAV 12X800ML</t>
  </si>
  <si>
    <t>SUAV DERSA PRIMAV 6X1800ML</t>
  </si>
  <si>
    <t>SUAV DERSA PRIMAV 4X4000ML</t>
  </si>
  <si>
    <t>LUCCHETTI TALLARINES 78 24X400GR</t>
  </si>
  <si>
    <t>LUCCHETTI TALLARINES 77 24X400GR</t>
  </si>
  <si>
    <t>LUCCHETTI CANUTOS 24X400GR</t>
  </si>
  <si>
    <t>SERVILLETA SWAN COCTEL 12X300U</t>
  </si>
  <si>
    <t>PILA CARBON D PANASONIC 12PAR</t>
  </si>
  <si>
    <t>SOPA CASERAS PANTRUCAS 110GR</t>
  </si>
  <si>
    <t>MUIBON GALLETA CHOCO SANDW 24X125GR</t>
  </si>
  <si>
    <t>LACA DUO FUERTE POCKET 100CC</t>
  </si>
  <si>
    <t>PASTA PULIR FINA AUTO 200GR</t>
  </si>
  <si>
    <t>REX ADHESIVO FUERTE 2GR</t>
  </si>
  <si>
    <t>TOA INDUSTRIAL SWAN 6X100MTS</t>
  </si>
  <si>
    <t>TOA INDUS XL HOGAR TODAY 2X100MT</t>
  </si>
  <si>
    <t>TOA OVELLA CLASICA 8X3X11MT</t>
  </si>
  <si>
    <t>LUCCHETTI SALSA BOLOGNESA 24X20GR</t>
  </si>
  <si>
    <t>PILA DURACELL BOTON 2032 TIRA X5U</t>
  </si>
  <si>
    <t>B BASURA DOM 80X110X10U</t>
  </si>
  <si>
    <t>MM000000001</t>
  </si>
  <si>
    <t>B BASURA DOM 100X150X10U</t>
  </si>
  <si>
    <t>B BASURA DOM 70X90X10U</t>
  </si>
  <si>
    <t>ENCENDEDOR COCINA RONSON X12U</t>
  </si>
  <si>
    <t>BALL JAB ANTI POMELO DP 12X750ML 2022</t>
  </si>
  <si>
    <t>BALL JAB ANTIBAC COCO LIMA DP 12X750ML</t>
  </si>
  <si>
    <t>TALLIANI SPAGHETTI 5 400GR</t>
  </si>
  <si>
    <t>TALLIANI SPIRALI 400GR</t>
  </si>
  <si>
    <t>TOA COCINA SWAN 8X3X13MT</t>
  </si>
  <si>
    <t>PASTA PEPSODENT SENCIBLE 24X75GR</t>
  </si>
  <si>
    <t>PASTA PEPSODENT LIMP PROFUND 24X75GR</t>
  </si>
  <si>
    <t>PASTA PEPSODENT CARBON DETOX 24X75GR</t>
  </si>
  <si>
    <t>B BASURA TEDDY 80X110X10UN</t>
  </si>
  <si>
    <t>LIMPIA INODORO WC TEDDY 12X500ML</t>
  </si>
  <si>
    <t>FILM PLASTICO ADHE TEDDY 50X20MTS</t>
  </si>
  <si>
    <t>PAPEL ALUMINIO TEDDY 20X7,5MTS</t>
  </si>
  <si>
    <t>TD00000000001</t>
  </si>
  <si>
    <t>PINZA DE ROPA TEDDY BAMBU X24UN</t>
  </si>
  <si>
    <t>ACEITE OLIVA EXTRA VIRGEN TALLIANA 250ML</t>
  </si>
  <si>
    <t>SCORE FROSTED 24X500ML</t>
  </si>
  <si>
    <t>GELATINA ZUKO PINA 35GR</t>
  </si>
  <si>
    <t>SCORE MANGO 24X500ML</t>
  </si>
  <si>
    <t>TIC TAC MENTOS FRUTA 6X18GR</t>
  </si>
  <si>
    <t>BR00000000001</t>
  </si>
  <si>
    <t>BR00000000002</t>
  </si>
  <si>
    <t>BR00000000003</t>
  </si>
  <si>
    <t>BR00000000004</t>
  </si>
  <si>
    <t>BRESLER</t>
  </si>
  <si>
    <t>LUCCHETTI CABELLITOS CORTOS 12X400GR</t>
  </si>
  <si>
    <t>BR00000000005</t>
  </si>
  <si>
    <t>BR00000000006</t>
  </si>
  <si>
    <t>BR00000000007</t>
  </si>
  <si>
    <t>AMB ENCHUFE TDY MANZ CANELA MAQ+REP</t>
  </si>
  <si>
    <t>TOA HUMEDA DESENGRASANTE WX 80UN</t>
  </si>
  <si>
    <t>PANO MICROFIBRA DOM 40X40</t>
  </si>
  <si>
    <t>ESPONJA MAGIGA CELESTE X3UN</t>
  </si>
  <si>
    <t>ESPONJA MAGIGA ROSADA X3UN</t>
  </si>
  <si>
    <t xml:space="preserve">LIMPIAVIDRIO EXCELL 12X500ML </t>
  </si>
  <si>
    <t xml:space="preserve">LIMPIAVIDRIO BRIGHT 12X500ML </t>
  </si>
  <si>
    <t>HISOPO BRIGHT GRANDE</t>
  </si>
  <si>
    <t>PH BRIGHT DH 4 ROLLOS 100MTS</t>
  </si>
  <si>
    <t>HELADO PALETA DOBLON 21X60ML</t>
  </si>
  <si>
    <t>HELADO PALETA FRUGELE FRAMBUEZA 22X60ML</t>
  </si>
  <si>
    <t>HELADO MAGNUM CLASICO 16X77GR</t>
  </si>
  <si>
    <t>MIXMAX</t>
  </si>
  <si>
    <t>MAYO KRAFT FRCO 443 ML</t>
  </si>
  <si>
    <t>REXONA FUTBOL FANATICA 12X150ML</t>
  </si>
  <si>
    <t>REXONA COTTON DRY 12X150ML</t>
  </si>
  <si>
    <t>REXONA CLINICAL EXTRA DRY 12X48GR</t>
  </si>
  <si>
    <t>DOVE SH RECONSTR COMPLETA 12X400ML</t>
  </si>
  <si>
    <t>DOVE SH NUTRI OLEO MICELAR 12X400ML</t>
  </si>
  <si>
    <t>DOVE SH OLEO NUTRICION 12X400ML</t>
  </si>
  <si>
    <t>BR00000000008</t>
  </si>
  <si>
    <t>HELADO MECANO MANJAR X18U</t>
  </si>
  <si>
    <t>BR00000000009</t>
  </si>
  <si>
    <t>HELADO CALIPPO AMBERRIES X20</t>
  </si>
  <si>
    <t>BR00000000010</t>
  </si>
  <si>
    <t>HELADO PALETA FRUGELE MANZANA 22</t>
  </si>
  <si>
    <t>BR00000000011</t>
  </si>
  <si>
    <t>HELADO PALETA FRUGELE PIÑA 22</t>
  </si>
  <si>
    <t>BR00000000012</t>
  </si>
  <si>
    <t>HELADO PALETA FRUGELE NARANJA 22</t>
  </si>
  <si>
    <t>BR00000000013</t>
  </si>
  <si>
    <t>BR00000000014</t>
  </si>
  <si>
    <t>BR00000000015</t>
  </si>
  <si>
    <t>HELADO AMBROSITO24X50ML</t>
  </si>
  <si>
    <t>DESO AMB CHI ALEGRE AROM 12X225ML</t>
  </si>
  <si>
    <t>LAVALOZA VIRGINIA LITRO</t>
  </si>
  <si>
    <t>KETCHUP HELLMANNS DP 12X900GR</t>
  </si>
  <si>
    <t>BOLSA CON CIERRE DESLIZABLE TALLA S/20U</t>
  </si>
  <si>
    <t>ANDESAL SAL FINA MESA 12X1KL</t>
  </si>
  <si>
    <t>ARENA GATO HAPPY PET 4KG</t>
  </si>
  <si>
    <t>MAYORISTA PETS</t>
  </si>
  <si>
    <t>GALLETA PERRO QUALIDY TODO PORTE 300GR</t>
  </si>
  <si>
    <t>GALLETA PERRO QUALIDY PORTE PEQUE 300GR</t>
  </si>
  <si>
    <t>SUAV DOWNY HOPIALERG 12X450ML</t>
  </si>
  <si>
    <t>SH PANTENE RESTAURACION 12X400ML</t>
  </si>
  <si>
    <t>PH OVELLA DH 8X4X50MT</t>
  </si>
  <si>
    <t>PH OVELLA DH 8X6X22MT</t>
  </si>
  <si>
    <t>PD LADYSOFT NORMAL 48X20UN</t>
  </si>
  <si>
    <t>VELA GRANDE TEDDY X4</t>
  </si>
  <si>
    <t>VELA EXTRA GRANDE TEDDY X4</t>
  </si>
  <si>
    <t>PANO ESPONGY DOM X3UN</t>
  </si>
  <si>
    <t>VINAGRE VINO BLCO 10X500ML</t>
  </si>
  <si>
    <t>BALL JAB AVENA ALM DP 6X1,3 LT</t>
  </si>
  <si>
    <t>BALL JAB COCO JAZMIN DP 6X1,3 LT</t>
  </si>
  <si>
    <t>BALL SH MAQUI Y ACAI DP 12X750ML</t>
  </si>
  <si>
    <t>PIPONA MARAVILLA 110GR</t>
  </si>
  <si>
    <t>MANI JAPONES 90GR</t>
  </si>
  <si>
    <t>SEMBRASOL</t>
  </si>
  <si>
    <t>MANI CONFITADO 100GR</t>
  </si>
  <si>
    <t>MANI SALADO 150GR</t>
  </si>
  <si>
    <t>MANI SIN SAL 150GR</t>
  </si>
  <si>
    <t>PISTACHOS 40GR</t>
  </si>
  <si>
    <t>KAPY PAPAS CASERAS 90GR</t>
  </si>
  <si>
    <t>CHARQUI DE EQUINO 20GR</t>
  </si>
  <si>
    <t>COM NVA VIDA</t>
  </si>
  <si>
    <t>BOLSAS MULTIUSO CIERRE HERMETICO 25U</t>
  </si>
  <si>
    <t>JAB INFANTIL FRUTILLA FORMA FLOR 300ML</t>
  </si>
  <si>
    <t>JAB INFANTIL MANZANA FORMA PERRITO 300ML</t>
  </si>
  <si>
    <t>CREMA ESPARRAGO NATUREZZA 18X60GR</t>
  </si>
  <si>
    <t>SCORE GORILLA 500ML</t>
  </si>
  <si>
    <t>SCORE ORIGINAL 500ML</t>
  </si>
  <si>
    <t>CAFÉ MONTERREY STICK 96X1,8GR</t>
  </si>
  <si>
    <t>CAFÉ GOLD STICK 96X1,8GR</t>
  </si>
  <si>
    <t>DESO INODORO LAVANDA TEDDY 45GR</t>
  </si>
  <si>
    <t>DESO INODORO POTPOURRI TEDDY 45GR</t>
  </si>
  <si>
    <t>DESO INODORO FRUTOS ROJOS TEDDY 45GR</t>
  </si>
  <si>
    <t>DESO INODORO VAINILLA TEDDY 45GR</t>
  </si>
  <si>
    <t>AMPOLLETA ECONOMICA LED 7W LUZ FRIA</t>
  </si>
  <si>
    <t>SOPLETE RONSON X10U</t>
  </si>
  <si>
    <t>MENTHOLATUM 12GR LATA</t>
  </si>
  <si>
    <t>LUCCHETTI CORBATITAS 12X400GR</t>
  </si>
  <si>
    <t>LIVEAN POUCH MANZANA 8X90GR</t>
  </si>
  <si>
    <t>LIVEAN POUCH PERA 8X90GR</t>
  </si>
  <si>
    <t>LIVEAN POUCH DURAZNO 8X90GR</t>
  </si>
  <si>
    <t>SEDAL SH CELULAS MADRE 340ML</t>
  </si>
  <si>
    <t>SEDAL SH COLAGENO +VIT C 340ML</t>
  </si>
  <si>
    <t>SUAV COMFORT FRESCO INTENSO 12X500ML</t>
  </si>
  <si>
    <t>SUAV COMFORT HIPOALERG 12X500ML</t>
  </si>
  <si>
    <t>AXE STICK BLACK REMIXED 45GR</t>
  </si>
  <si>
    <t>AXE STICK DARK TEMPT 45GR</t>
  </si>
  <si>
    <t>AXE STICK EPIC FRESH 45GR</t>
  </si>
  <si>
    <t>AXE STICK APOLLO 45GR</t>
  </si>
  <si>
    <t>JABON LE SANCY FRUTOS ROJOS 12X90GR</t>
  </si>
  <si>
    <t>BOLSA CAMISETA CHICA C/LOGO</t>
  </si>
  <si>
    <t>BOLSA CAMISETA CHICA S/LOGO</t>
  </si>
  <si>
    <t>BOLSA CAMISETA GRANDE S/LOGO</t>
  </si>
  <si>
    <t>BOLSA EXTRA GRANDE LIMONES</t>
  </si>
  <si>
    <t>GINO</t>
  </si>
  <si>
    <t>ARENA GATO NEUTRA HAPPY PET 15KG</t>
  </si>
  <si>
    <t>CRACKER TRIPACK 321GR</t>
  </si>
  <si>
    <t>DOVE SH HIDRATAC INTENSA 12X400ML</t>
  </si>
  <si>
    <t>TF KOTEX NOCT EXTRA SUAVE 12X8U</t>
  </si>
  <si>
    <t>REXONA CLINICAL SPORT STRENGTH 12X48GR</t>
  </si>
  <si>
    <t>PASTA DIENTE TRIPLE+PEPSODENT 72X90GR</t>
  </si>
  <si>
    <t>PILA DURACELL BOTON 2016 TIRA X5U</t>
  </si>
  <si>
    <t>RM90000000090</t>
  </si>
  <si>
    <t>COLGADOR DE ROPA 48 GANCHOS</t>
  </si>
  <si>
    <t>PILA DURACELL BOTON 2025 TIRA X5U</t>
  </si>
  <si>
    <t>ESPONJA CON LIJA AILEDA X2U</t>
  </si>
  <si>
    <t>CLORO GEL TODAY LAVANDA 5 LTS</t>
  </si>
  <si>
    <t>P PAMPERS CONFORT SEC M 8X20U</t>
  </si>
  <si>
    <t>LIMP CREMA CIF BIO ORIGINAL 12X750GR</t>
  </si>
  <si>
    <t>MONEDAS MUIBON 295</t>
  </si>
  <si>
    <t>SOPA PERSONAL ESPARRAGOS 14GR</t>
  </si>
  <si>
    <t>SOPA PERSONAL CONSOME POLLO 14GR</t>
  </si>
  <si>
    <t>ESCOBILLON MULTIUSO BRIGHT 1X24</t>
  </si>
  <si>
    <t>CHANCACA DELICIOSA 12X200GR</t>
  </si>
  <si>
    <t>ANTIBAC LIMPIA HORNOS 12X400C</t>
  </si>
  <si>
    <t>SUAVELINA AC GRANADA DP 12X750ML</t>
  </si>
  <si>
    <t>SUAVELINA AC PALTA DP 12X750ML</t>
  </si>
  <si>
    <t>SUAVELINA AC MANSANILLA DP 12X750ML</t>
  </si>
  <si>
    <t>SUAVELINA SH HIPOALERG DP 12X750ML</t>
  </si>
  <si>
    <t>ACEITE OLIVA DE ROSSETTI 12X250ML</t>
  </si>
  <si>
    <t>LIMPIA VIDRIOS TEDDY 500ML</t>
  </si>
  <si>
    <t>PETALOS ALGODON SWISS BEAUTY 80U</t>
  </si>
  <si>
    <t>048341000808</t>
  </si>
  <si>
    <t>TALCO PIES ALGOBO MUJER 100GR</t>
  </si>
  <si>
    <t>TALCO PIES ALGOBO HOMBRE 100GR</t>
  </si>
  <si>
    <t xml:space="preserve">DISPLAY SH HEAD &amp;SH SACHET 24X10GR </t>
  </si>
  <si>
    <t>TOA HUMEDA LUSTRA MUEBLES WN 80UN</t>
  </si>
  <si>
    <t>ALGODON HIDROF SWISS BEAUTY ROLLO 50GR</t>
  </si>
  <si>
    <t>COCOA RAFF BOL 40X200 CHOCOLATE DOY</t>
  </si>
  <si>
    <t>TALLIANI NIDO FETTUC 90 400GR PAQ</t>
  </si>
  <si>
    <t>SAL LUC-I-POU 200 AL PESTO MM DOY</t>
  </si>
  <si>
    <t>LUCCHETTI CARACOL AL QUESO 12X296GR</t>
  </si>
  <si>
    <t>LIVEAN NECT TET NARANJA 6X200 PAC</t>
  </si>
  <si>
    <t>NECT ZUKO 4 (6X200) NARANJA PAC</t>
  </si>
  <si>
    <t>LIVEAN NECT TET DURAZNO 6X200 PAC</t>
  </si>
  <si>
    <t>B BASURA TEDDY 105X150CMX10U</t>
  </si>
  <si>
    <t>TOA OVELLA XL 80MT</t>
  </si>
  <si>
    <t>TOA INDUS PROPAPER HS 2X250MTS</t>
  </si>
  <si>
    <t>CAPSULAS AILEDA  1X36 UN</t>
  </si>
  <si>
    <t>TEBA SPA</t>
  </si>
  <si>
    <t>HARINA S/P COLLICO 10X1KL</t>
  </si>
  <si>
    <t>HARINA C/P MONT BLANC 12X1KL</t>
  </si>
  <si>
    <t>HARINA S/P MONT BLANC 12X1KL</t>
  </si>
  <si>
    <t>HARINA C/P COLLICO 10X1KL</t>
  </si>
  <si>
    <t>MAYONESA KRAFT FCO 12X394GR</t>
  </si>
  <si>
    <t>SALSA TOMATE POMAROLA 24X200GRS</t>
  </si>
  <si>
    <t>MILO ACTIV-GO 15X1KL</t>
  </si>
  <si>
    <t>AZUCAR MISOL 10X1KL</t>
  </si>
  <si>
    <t>NESCAFE TRADICION 24X170GR</t>
  </si>
  <si>
    <t>ARROZ BLUE BONNET G2 10X900GR</t>
  </si>
  <si>
    <t>GOLD TENTATION MOKA 1X36GR</t>
  </si>
  <si>
    <t>MUIBON COOKIES CREAM LECHE 6X145GR</t>
  </si>
  <si>
    <t>LASAÑA LUCCHETTI NAC 1x360G</t>
  </si>
  <si>
    <t>ARROZ DE REYES 900GR</t>
  </si>
  <si>
    <t>P HUGGIES ACT SEC XXXG 8X12U</t>
  </si>
  <si>
    <t>CLORO IMPEKE ROPA BLANCA 1 LT</t>
  </si>
  <si>
    <t>PASTA PEPSODENT SALUD COMP 24X75GR</t>
  </si>
  <si>
    <t>PASTA PEPSODENT HERBAL ENCIAS 24X75GR</t>
  </si>
  <si>
    <t>P HUGGIES ACT SEC XXG 6X12U</t>
  </si>
  <si>
    <t>SOPA CASERAS CARBONADA 110GR</t>
  </si>
  <si>
    <t>OMO POLVO C/BICARBONATO 800GR</t>
  </si>
  <si>
    <t>P HUGGIES ACT SEC G 6X16U</t>
  </si>
  <si>
    <t>DIFUSOR GREEN WORLD PATCHOULI 40ML</t>
  </si>
  <si>
    <t>DIFUSOR GREEN WORLD FLORAL 40ML</t>
  </si>
  <si>
    <t>DIFUSOR GREEN WORLD PEONY 40ML</t>
  </si>
  <si>
    <t>PLATO MASCOTA PEQ VERDE GRANEL</t>
  </si>
  <si>
    <t>PLATO MASCOTA PEQ AZUL GRANEL</t>
  </si>
  <si>
    <t>MARCA</t>
  </si>
  <si>
    <t>P HUGGIES ACT SEC XG 6X12U</t>
  </si>
  <si>
    <t>P PAMPERS CONFORT SEC M 8X24U</t>
  </si>
  <si>
    <t>TOA DIANA DESMAQ ROSADA 6X25U</t>
  </si>
  <si>
    <t>TOA DIANA DESMAQ CELESTE 6X25U</t>
  </si>
  <si>
    <t>HIGENIZANTE SPRAY MANOS 70 330ML</t>
  </si>
  <si>
    <t>GEL MALAQUITA TE ODIO CORONA 2X5LT</t>
  </si>
  <si>
    <t>LAVALOZAS CONCENTRADO TODAY LIMON 5 LT</t>
  </si>
  <si>
    <t>REC GREEN WORD AFTER REIN 12X250ML</t>
  </si>
  <si>
    <t>REC GREEN WORLD MOSS SPRING 12X250ML</t>
  </si>
  <si>
    <t>REC GREEN WORLD BOSPH BEAUTY 12X250ML</t>
  </si>
  <si>
    <t>LIMP CREMA WYN 12X750 GR</t>
  </si>
  <si>
    <t>JABON MANZANA MIEL KADUS FCO 750ML</t>
  </si>
  <si>
    <t>CIF CLOROGEL LIMON 10X800 ML</t>
  </si>
  <si>
    <t>CIF CLOROGEL LAVANDA 10X800 ML</t>
  </si>
  <si>
    <t>CIF CLOROGEL TRADICION 10X800 ML</t>
  </si>
  <si>
    <t>LUSTRA MUEB TRAD VIRGINIA 12X250CC</t>
  </si>
  <si>
    <t>LUSTRA MUEB LAVANDA VIRGINIA 12X250CC</t>
  </si>
  <si>
    <t>LUSTRA MUEB SPRAY NARANJA VIRGINIA 12X360CC</t>
  </si>
  <si>
    <t>OMO DILUIR HIPOALERGENICO 12X500ML</t>
  </si>
  <si>
    <t>OMO DILUIR ULTRA CONC 12X500ML</t>
  </si>
  <si>
    <t>TRAPERO HUM VIRGINIA LAVANDA 12X10U</t>
  </si>
  <si>
    <t>LIMPIADOR PF LAVANDA EXCELL 12X900CC</t>
  </si>
  <si>
    <t>SH ALFOMBRAS EXCEL 12X900CC</t>
  </si>
  <si>
    <t>OMO MATIC SOFT ALOE VERA 30X400G</t>
  </si>
  <si>
    <t>ALCOHOL GEL SAUBER MANDARINA 24X340ML</t>
  </si>
  <si>
    <t xml:space="preserve">QUITAGRASA PRO GATILLO EXCELL 12X500CC </t>
  </si>
  <si>
    <t>LIMPIADOR+ABRILLANTADOR ALMENDRA 12X900ML</t>
  </si>
  <si>
    <t>ABRILLANTADOR PF ALMENDRA EXCELL 12X900CC</t>
  </si>
  <si>
    <t>ABRILLANTADOR PF FRUTOS DEL BOSQUE EXCELL 12X900CC</t>
  </si>
  <si>
    <t>ABRILLANTADOR PF LAVANDA EXCELL 12X900CC</t>
  </si>
  <si>
    <t>ABRILLANTADOR PIEDRA PIZARRA EXCELL 12X900CC</t>
  </si>
  <si>
    <t>DISPLAY BOLSA CAMISETA MEDIANA X100U</t>
  </si>
  <si>
    <t>PANO COCINA TEDDY 50X70 GRANEL</t>
  </si>
  <si>
    <t>CAJA GUANTES VINILO S 100U</t>
  </si>
  <si>
    <t>CAJA GUANTES VINILO L 100U HEILE</t>
  </si>
  <si>
    <t xml:space="preserve">CAJA GUANTES VINILO M 100U </t>
  </si>
  <si>
    <t>SUAV FUZOL SENS 1,2 LITROS</t>
  </si>
  <si>
    <t>DET DIELLI 1 LT</t>
  </si>
  <si>
    <t>FUZOL LAVALOZA LIMON 1 LT</t>
  </si>
  <si>
    <t>FUZOL LAVALOZA VINAGRE 1 LT</t>
  </si>
  <si>
    <t>SUAV FUZOL PIEL DELICADA 2 LT</t>
  </si>
  <si>
    <t>SUAV FUZOL CLASIC 2 LT</t>
  </si>
  <si>
    <t>LAVALOZA FUZOL LIMON 750ML</t>
  </si>
  <si>
    <t>BALL JAB SACHET MIXTO 12ML</t>
  </si>
  <si>
    <t>ABRILLANTADOR CALZADO VIRGINIA</t>
  </si>
  <si>
    <t>BALL AC SACHET MIXTO 50ML</t>
  </si>
  <si>
    <t>BALL JAB SACHET MIXTO 50ML</t>
  </si>
  <si>
    <t>60X</t>
  </si>
  <si>
    <t>CHICLE BOLITA X5 TUTIFRUTTI</t>
  </si>
  <si>
    <t>CHICLE BOLITA X5 TROPICAL</t>
  </si>
  <si>
    <t>ZUKO LIMONADA 10X20GR</t>
  </si>
  <si>
    <t>LOMITO ATUN DORASOL ACEITE 48X162GR</t>
  </si>
  <si>
    <t>SUMA</t>
  </si>
  <si>
    <t>TB00000000011</t>
  </si>
  <si>
    <t>TB00000000012</t>
  </si>
  <si>
    <t>TB00000000013</t>
  </si>
  <si>
    <t>TB00000000014</t>
  </si>
  <si>
    <t>TB00000000161</t>
  </si>
  <si>
    <t>TB00000000113</t>
  </si>
  <si>
    <t>BR00000000016</t>
  </si>
  <si>
    <t>HELADO FRAC VAINILLA 24X50ML</t>
  </si>
  <si>
    <t>BR00000000017</t>
  </si>
  <si>
    <t>HELADO FRAC CHOCOLATE 24X50ML</t>
  </si>
  <si>
    <t>BR00000000018</t>
  </si>
  <si>
    <t>HELADO CALYPPO 24X50ML</t>
  </si>
  <si>
    <t>BR00000000019</t>
  </si>
  <si>
    <t>HELADO FLIPI 24X50ML</t>
  </si>
  <si>
    <t>HELADO LOOP 24X50ML</t>
  </si>
  <si>
    <t>BR00000000020</t>
  </si>
  <si>
    <t>BR00000000021</t>
  </si>
  <si>
    <t>HELADO MONO 24X50ML</t>
  </si>
  <si>
    <t>HELADO MECANO 24X50ML</t>
  </si>
  <si>
    <t>BR00000000022</t>
  </si>
  <si>
    <t>BR00000000023</t>
  </si>
  <si>
    <t xml:space="preserve">HELADO CASATA SUNNY </t>
  </si>
  <si>
    <t xml:space="preserve">HELADO PALETA SUNNY </t>
  </si>
  <si>
    <t>HELADO PALETA FRUGELE CREM CHIRI 18X75ML</t>
  </si>
  <si>
    <t>BR00000000024</t>
  </si>
  <si>
    <t>BR00000000025</t>
  </si>
  <si>
    <t xml:space="preserve">HELADO PALETA LOLY CHOC </t>
  </si>
  <si>
    <t>HELADO CUP CHI ALEGRE 12X70ML</t>
  </si>
  <si>
    <t>HELADO CUP FRAMB CREM 12X70ML</t>
  </si>
  <si>
    <t>HELADO CUP ROLLS 12X70ML</t>
  </si>
  <si>
    <t>HELADO ORLY BERRIES 20X70ML</t>
  </si>
  <si>
    <t>HELADO ORLY MENTA 20X70ML</t>
  </si>
  <si>
    <t>TB00000000000</t>
  </si>
  <si>
    <t>NETO
MAYOR</t>
  </si>
  <si>
    <t>BRUTO
MAYOR</t>
  </si>
  <si>
    <t>BALL JABON KARITÉ DP 750ML</t>
  </si>
  <si>
    <t xml:space="preserve">BALL SH DETOX HIERBA FR 410ML  10UN XCJ </t>
  </si>
  <si>
    <t xml:space="preserve">BALL SH MICEL BAJO POO FR 410ML  10UN XCJ </t>
  </si>
  <si>
    <t>BALL SH ONDAS Y RIZO FR 10X750ML</t>
  </si>
  <si>
    <t>BALL SH REPARACION FR 10X750ML</t>
  </si>
  <si>
    <t xml:space="preserve">BALL SH SIN SAL PALTA FR 10X410ML </t>
  </si>
  <si>
    <t>BALL SH MICEL BAJO POO FR 750ML 12UNXCJ</t>
  </si>
  <si>
    <t xml:space="preserve">BALL AC DETOX HIERBA FR 410ML  10UN XCJ </t>
  </si>
  <si>
    <t>BALL AC DETOX HIERBA FR 750ML 10XCJ 2020</t>
  </si>
  <si>
    <t>BALL AC LARGO INCREI FR 750ML 10 UN X CJ</t>
  </si>
  <si>
    <t xml:space="preserve">BALL AC MANZANILLA FR 410ML  10UN XCJ </t>
  </si>
  <si>
    <t>BALL AC MAQUI &amp; AÇAI FR 750ML 10XCJ 2020</t>
  </si>
  <si>
    <t>BALL AC MICEL BAJO POO FR 750ML10XCJ 2020</t>
  </si>
  <si>
    <t>BALL AC MICELAR BAJO POO FR 410ML</t>
  </si>
  <si>
    <t>BALL AC ONDA Y RIZO FR 750ML 10 UN X CJ</t>
  </si>
  <si>
    <t xml:space="preserve">BALL AC SIN SAL PALT ALMEN FR 410ML  10UN XCJ </t>
  </si>
  <si>
    <t xml:space="preserve">BALL AC LARGO INCRE FR 410ML  10UNXCJ </t>
  </si>
  <si>
    <t xml:space="preserve">BALL AC ONDAS FR 410ML  10UN XCJ </t>
  </si>
  <si>
    <t>BALL CREM PEINAR ONDAYRIZO FR 200ML8XCJ</t>
  </si>
  <si>
    <t>BALL AC BRILLO FR 400ML 12UN X CJ</t>
  </si>
  <si>
    <t>NETO
DET</t>
  </si>
  <si>
    <t>BRUTO
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</si>
</sst>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42" fontId="21" fillId="0" borderId="12" xfId="44" applyFont="1" applyFill="1" applyBorder="1" applyAlignment="1">
      <alignment horizontal="right"/>
    </xf>
    <xf numFmtId="42" fontId="21" fillId="0" borderId="12" xfId="44" applyFont="1" applyFill="1" applyBorder="1"/>
    <xf numFmtId="42" fontId="21" fillId="0" borderId="16" xfId="44" applyFont="1" applyFill="1" applyBorder="1"/>
    <xf numFmtId="42" fontId="21" fillId="0" borderId="11" xfId="44" applyFont="1" applyFill="1" applyBorder="1"/>
    <xf numFmtId="42" fontId="21" fillId="0" borderId="11" xfId="44" applyFont="1" applyFill="1" applyBorder="1" applyAlignment="1">
      <alignment horizontal="right"/>
    </xf>
    <xf numFmtId="42" fontId="21" fillId="0" borderId="14" xfId="44" applyFont="1" applyFill="1" applyBorder="1"/>
    <xf numFmtId="1" fontId="21" fillId="0" borderId="12" xfId="44" applyNumberFormat="1" applyFont="1" applyFill="1" applyBorder="1"/>
    <xf numFmtId="1" fontId="21" fillId="0" borderId="12" xfId="0" applyNumberFormat="1" applyFont="1" applyFill="1" applyBorder="1" applyAlignment="1">
      <alignment horizontal="center" wrapText="1"/>
    </xf>
    <xf numFmtId="1" fontId="21" fillId="0" borderId="12" xfId="0" applyNumberFormat="1" applyFont="1" applyFill="1" applyBorder="1" applyAlignment="1">
      <alignment horizontal="center"/>
    </xf>
    <xf numFmtId="1" fontId="21" fillId="0" borderId="0" xfId="0" applyNumberFormat="1" applyFont="1" applyFill="1"/>
    <xf numFmtId="0" fontId="21" fillId="0" borderId="0" xfId="0" applyFont="1" applyFill="1"/>
    <xf numFmtId="0" fontId="21" fillId="0" borderId="12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1" fontId="21" fillId="0" borderId="12" xfId="0" applyNumberFormat="1" applyFont="1" applyFill="1" applyBorder="1" applyAlignment="1">
      <alignment horizontal="left" wrapText="1"/>
    </xf>
    <xf numFmtId="14" fontId="21" fillId="0" borderId="12" xfId="0" applyNumberFormat="1" applyFont="1" applyFill="1" applyBorder="1"/>
    <xf numFmtId="1" fontId="21" fillId="0" borderId="12" xfId="0" applyNumberFormat="1" applyFont="1" applyFill="1" applyBorder="1"/>
    <xf numFmtId="0" fontId="21" fillId="0" borderId="12" xfId="0" applyFont="1" applyFill="1" applyBorder="1"/>
    <xf numFmtId="49" fontId="21" fillId="0" borderId="12" xfId="0" applyNumberFormat="1" applyFont="1" applyFill="1" applyBorder="1" applyAlignment="1">
      <alignment horizontal="left"/>
    </xf>
    <xf numFmtId="0" fontId="21" fillId="0" borderId="12" xfId="0" applyFont="1" applyFill="1" applyBorder="1" applyAlignment="1">
      <alignment horizontal="left" wrapText="1"/>
    </xf>
    <xf numFmtId="3" fontId="21" fillId="0" borderId="12" xfId="0" applyNumberFormat="1" applyFont="1" applyFill="1" applyBorder="1"/>
    <xf numFmtId="1" fontId="21" fillId="0" borderId="12" xfId="0" applyNumberFormat="1" applyFont="1" applyFill="1" applyBorder="1" applyAlignment="1">
      <alignment horizontal="center" vertical="center"/>
    </xf>
    <xf numFmtId="1" fontId="21" fillId="0" borderId="12" xfId="0" applyNumberFormat="1" applyFont="1" applyFill="1" applyBorder="1" applyAlignment="1">
      <alignment horizontal="left"/>
    </xf>
    <xf numFmtId="1" fontId="21" fillId="0" borderId="12" xfId="0" applyNumberFormat="1" applyFont="1" applyFill="1" applyBorder="1" applyAlignment="1">
      <alignment horizontal="left" vertical="center"/>
    </xf>
    <xf numFmtId="0" fontId="21" fillId="0" borderId="12" xfId="1" applyFont="1" applyFill="1" applyBorder="1" applyAlignment="1">
      <alignment horizontal="center" vertical="center" wrapText="1"/>
    </xf>
    <xf numFmtId="1" fontId="21" fillId="0" borderId="16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left" wrapText="1"/>
    </xf>
    <xf numFmtId="0" fontId="21" fillId="0" borderId="16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Font="1" applyFill="1" applyBorder="1"/>
    <xf numFmtId="14" fontId="21" fillId="0" borderId="16" xfId="0" applyNumberFormat="1" applyFont="1" applyFill="1" applyBorder="1"/>
    <xf numFmtId="1" fontId="21" fillId="0" borderId="11" xfId="0" applyNumberFormat="1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left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/>
    <xf numFmtId="14" fontId="21" fillId="0" borderId="11" xfId="0" applyNumberFormat="1" applyFont="1" applyFill="1" applyBorder="1"/>
    <xf numFmtId="1" fontId="21" fillId="0" borderId="12" xfId="0" quotePrefix="1" applyNumberFormat="1" applyFont="1" applyFill="1" applyBorder="1" applyAlignment="1">
      <alignment horizontal="center" wrapText="1"/>
    </xf>
    <xf numFmtId="1" fontId="21" fillId="0" borderId="11" xfId="0" applyNumberFormat="1" applyFont="1" applyFill="1" applyBorder="1" applyAlignment="1">
      <alignment horizontal="center"/>
    </xf>
    <xf numFmtId="0" fontId="21" fillId="0" borderId="13" xfId="0" applyFont="1" applyFill="1" applyBorder="1"/>
    <xf numFmtId="14" fontId="21" fillId="0" borderId="14" xfId="0" applyNumberFormat="1" applyFont="1" applyFill="1" applyBorder="1"/>
    <xf numFmtId="0" fontId="21" fillId="0" borderId="14" xfId="0" applyFont="1" applyFill="1" applyBorder="1"/>
    <xf numFmtId="0" fontId="21" fillId="0" borderId="11" xfId="0" applyFont="1" applyFill="1" applyBorder="1" applyAlignment="1">
      <alignment horizontal="left" wrapText="1"/>
    </xf>
    <xf numFmtId="1" fontId="21" fillId="0" borderId="11" xfId="0" applyNumberFormat="1" applyFont="1" applyFill="1" applyBorder="1" applyAlignment="1">
      <alignment horizontal="left" wrapText="1"/>
    </xf>
    <xf numFmtId="1" fontId="21" fillId="0" borderId="12" xfId="0" quotePrefix="1" applyNumberFormat="1" applyFont="1" applyFill="1" applyBorder="1" applyAlignment="1">
      <alignment horizontal="center"/>
    </xf>
    <xf numFmtId="1" fontId="21" fillId="0" borderId="14" xfId="0" applyNumberFormat="1" applyFont="1" applyFill="1" applyBorder="1" applyAlignment="1">
      <alignment horizontal="center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3" fontId="21" fillId="0" borderId="0" xfId="0" applyNumberFormat="1" applyFont="1" applyFill="1"/>
    <xf numFmtId="0" fontId="21" fillId="33" borderId="1" xfId="0" applyFont="1" applyFill="1" applyBorder="1" applyAlignment="1">
      <alignment horizontal="center"/>
    </xf>
    <xf numFmtId="0" fontId="21" fillId="33" borderId="1" xfId="0" applyFont="1" applyFill="1" applyBorder="1" applyAlignment="1">
      <alignment horizontal="center" vertical="center" wrapText="1"/>
    </xf>
    <xf numFmtId="3" fontId="21" fillId="33" borderId="12" xfId="0" applyNumberFormat="1" applyFont="1" applyFill="1" applyBorder="1" applyAlignment="1">
      <alignment horizontal="center"/>
    </xf>
    <xf numFmtId="1" fontId="21" fillId="33" borderId="15" xfId="0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wrapText="1"/>
    </xf>
    <xf numFmtId="3" fontId="21" fillId="33" borderId="17" xfId="0" applyNumberFormat="1" applyFont="1" applyFill="1" applyBorder="1" applyAlignment="1">
      <alignment horizontal="center" wrapText="1"/>
    </xf>
  </cellXfs>
  <cellStyles count="46">
    <cellStyle name="          _x000d__x000a_386grabber=VGA.3GR_x000d__x000a_" xfId="45" xr:uid="{AD5BAF9C-AD14-44DF-96D4-5EDB5E4E3CA8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 2" xfId="43" xr:uid="{00000000-0005-0000-0000-000020000000}"/>
    <cellStyle name="Moneda [0]" xfId="44" builtinId="7"/>
    <cellStyle name="Neutral" xfId="8" builtinId="28" customBuiltin="1"/>
    <cellStyle name="Normal" xfId="0" builtinId="0"/>
    <cellStyle name="Normal 2" xfId="1" xr:uid="{00000000-0005-0000-0000-000024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3" builtinId="17" customBuiltin="1"/>
    <cellStyle name="Título 3" xfId="4" builtinId="18" customBuiltin="1"/>
    <cellStyle name="Título 4" xfId="42" xr:uid="{00000000-0005-0000-0000-00002B000000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0"/>
  <sheetViews>
    <sheetView showGridLines="0" tabSelected="1" zoomScale="130" zoomScaleNormal="130" workbookViewId="0">
      <pane ySplit="1" topLeftCell="A2" activePane="bottomLeft" state="frozen"/>
      <selection pane="bottomLeft" activeCell="M2" sqref="M2"/>
    </sheetView>
  </sheetViews>
  <sheetFormatPr baseColWidth="10" defaultColWidth="37.28515625" defaultRowHeight="11.25" x14ac:dyDescent="0.2"/>
  <cols>
    <col min="1" max="1" width="12.5703125" style="50" bestFit="1" customWidth="1"/>
    <col min="2" max="2" width="39.85546875" style="51" bestFit="1" customWidth="1"/>
    <col min="3" max="3" width="4.140625" style="50" customWidth="1"/>
    <col min="4" max="4" width="5.5703125" style="52" customWidth="1"/>
    <col min="5" max="5" width="6.42578125" style="53" customWidth="1"/>
    <col min="6" max="6" width="6" style="53" customWidth="1"/>
    <col min="7" max="7" width="7" style="53" customWidth="1"/>
    <col min="8" max="8" width="7.42578125" style="53" customWidth="1"/>
    <col min="9" max="9" width="7.140625" style="53" customWidth="1"/>
    <col min="10" max="10" width="12.5703125" style="11" customWidth="1"/>
    <col min="11" max="11" width="8.140625" style="11" customWidth="1"/>
    <col min="12" max="12" width="7.7109375" style="10" customWidth="1"/>
    <col min="13" max="16384" width="37.28515625" style="11"/>
  </cols>
  <sheetData>
    <row r="1" spans="1:12" ht="33.75" x14ac:dyDescent="0.2">
      <c r="A1" s="54" t="s">
        <v>0</v>
      </c>
      <c r="B1" s="54" t="s">
        <v>1</v>
      </c>
      <c r="C1" s="54" t="s">
        <v>2</v>
      </c>
      <c r="D1" s="55" t="s">
        <v>705</v>
      </c>
      <c r="E1" s="56" t="s">
        <v>4</v>
      </c>
      <c r="F1" s="59" t="s">
        <v>814</v>
      </c>
      <c r="G1" s="59" t="s">
        <v>815</v>
      </c>
      <c r="H1" s="59" t="s">
        <v>792</v>
      </c>
      <c r="I1" s="59" t="s">
        <v>793</v>
      </c>
      <c r="J1" s="57" t="s">
        <v>14</v>
      </c>
      <c r="K1" s="58" t="s">
        <v>33</v>
      </c>
      <c r="L1" s="58" t="s">
        <v>758</v>
      </c>
    </row>
    <row r="2" spans="1:12" x14ac:dyDescent="0.2">
      <c r="A2" s="8">
        <v>780504071021</v>
      </c>
      <c r="B2" s="12" t="s">
        <v>750</v>
      </c>
      <c r="C2" s="13">
        <v>12</v>
      </c>
      <c r="D2" s="14" t="s">
        <v>50</v>
      </c>
      <c r="E2" s="1">
        <v>150</v>
      </c>
      <c r="F2" s="1">
        <f>G2/1.19</f>
        <v>420.1680672268908</v>
      </c>
      <c r="G2" s="1">
        <v>500</v>
      </c>
      <c r="H2" s="1">
        <f>I2/1.19</f>
        <v>420.1680672268908</v>
      </c>
      <c r="I2" s="1">
        <v>500</v>
      </c>
      <c r="J2" s="15" t="s">
        <v>34</v>
      </c>
      <c r="K2" s="16">
        <v>44177</v>
      </c>
      <c r="L2" s="18">
        <v>96</v>
      </c>
    </row>
    <row r="3" spans="1:12" x14ac:dyDescent="0.2">
      <c r="A3" s="8">
        <v>7805020002569</v>
      </c>
      <c r="B3" s="12" t="s">
        <v>733</v>
      </c>
      <c r="C3" s="13">
        <v>12</v>
      </c>
      <c r="D3" s="14" t="s">
        <v>50</v>
      </c>
      <c r="E3" s="1">
        <f>21974/12</f>
        <v>1831.1666666666667</v>
      </c>
      <c r="F3" s="1">
        <f t="shared" ref="F3:F66" si="0">G3/1.19</f>
        <v>2453.7815126050423</v>
      </c>
      <c r="G3" s="1">
        <v>2920</v>
      </c>
      <c r="H3" s="1">
        <f t="shared" ref="H3:H66" si="1">I3/1.19</f>
        <v>2352.9411764705883</v>
      </c>
      <c r="I3" s="1">
        <v>2800</v>
      </c>
      <c r="J3" s="15" t="s">
        <v>17</v>
      </c>
      <c r="K3" s="16">
        <v>44770</v>
      </c>
      <c r="L3" s="18">
        <v>8</v>
      </c>
    </row>
    <row r="4" spans="1:12" x14ac:dyDescent="0.2">
      <c r="A4" s="8">
        <v>7805020001296</v>
      </c>
      <c r="B4" s="12" t="s">
        <v>734</v>
      </c>
      <c r="C4" s="13">
        <v>12</v>
      </c>
      <c r="D4" s="14" t="s">
        <v>50</v>
      </c>
      <c r="E4" s="1">
        <f>21974/12</f>
        <v>1831.1666666666667</v>
      </c>
      <c r="F4" s="1">
        <f t="shared" si="0"/>
        <v>2453.7815126050423</v>
      </c>
      <c r="G4" s="1">
        <v>2920</v>
      </c>
      <c r="H4" s="1">
        <f t="shared" si="1"/>
        <v>2352.9411764705883</v>
      </c>
      <c r="I4" s="1">
        <v>2800</v>
      </c>
      <c r="J4" s="15" t="s">
        <v>17</v>
      </c>
      <c r="K4" s="16">
        <v>45044</v>
      </c>
      <c r="L4" s="18">
        <v>3</v>
      </c>
    </row>
    <row r="5" spans="1:12" x14ac:dyDescent="0.2">
      <c r="A5" s="8">
        <v>7805020010052</v>
      </c>
      <c r="B5" s="12" t="s">
        <v>735</v>
      </c>
      <c r="C5" s="13">
        <v>12</v>
      </c>
      <c r="D5" s="14" t="s">
        <v>50</v>
      </c>
      <c r="E5" s="1">
        <f>21974/12</f>
        <v>1831.1666666666667</v>
      </c>
      <c r="F5" s="1">
        <f t="shared" si="0"/>
        <v>2453.7815126050423</v>
      </c>
      <c r="G5" s="1">
        <v>2920</v>
      </c>
      <c r="H5" s="1">
        <f t="shared" si="1"/>
        <v>2352.9411764705883</v>
      </c>
      <c r="I5" s="1">
        <v>2800</v>
      </c>
      <c r="J5" s="15" t="s">
        <v>17</v>
      </c>
      <c r="K5" s="16">
        <v>45044</v>
      </c>
      <c r="L5" s="18">
        <v>12</v>
      </c>
    </row>
    <row r="6" spans="1:12" x14ac:dyDescent="0.2">
      <c r="A6" s="8">
        <v>7805020001777</v>
      </c>
      <c r="B6" s="12" t="s">
        <v>736</v>
      </c>
      <c r="C6" s="13">
        <v>12</v>
      </c>
      <c r="D6" s="14" t="s">
        <v>50</v>
      </c>
      <c r="E6" s="1">
        <f>24931/12</f>
        <v>2077.5833333333335</v>
      </c>
      <c r="F6" s="1">
        <f t="shared" si="0"/>
        <v>2781.5126050420167</v>
      </c>
      <c r="G6" s="1">
        <v>3310</v>
      </c>
      <c r="H6" s="1">
        <f t="shared" si="1"/>
        <v>2672.2689075630256</v>
      </c>
      <c r="I6" s="1">
        <v>3180</v>
      </c>
      <c r="J6" s="15" t="s">
        <v>17</v>
      </c>
      <c r="K6" s="16">
        <v>45157</v>
      </c>
      <c r="L6" s="18">
        <v>67</v>
      </c>
    </row>
    <row r="7" spans="1:12" x14ac:dyDescent="0.2">
      <c r="A7" s="8">
        <v>650240035159</v>
      </c>
      <c r="B7" s="12" t="s">
        <v>320</v>
      </c>
      <c r="C7" s="13">
        <v>1</v>
      </c>
      <c r="D7" s="14" t="s">
        <v>50</v>
      </c>
      <c r="E7" s="1">
        <v>2500</v>
      </c>
      <c r="F7" s="1">
        <f t="shared" si="0"/>
        <v>3352.9411764705883</v>
      </c>
      <c r="G7" s="1">
        <v>3990</v>
      </c>
      <c r="H7" s="1">
        <f t="shared" si="1"/>
        <v>3352.9411764705883</v>
      </c>
      <c r="I7" s="1">
        <v>3990</v>
      </c>
      <c r="J7" s="18"/>
      <c r="K7" s="16">
        <v>44686</v>
      </c>
      <c r="L7" s="18">
        <v>298</v>
      </c>
    </row>
    <row r="8" spans="1:12" x14ac:dyDescent="0.2">
      <c r="A8" s="8">
        <v>7804614800000</v>
      </c>
      <c r="B8" s="12" t="s">
        <v>657</v>
      </c>
      <c r="C8" s="13">
        <v>12</v>
      </c>
      <c r="D8" s="14" t="s">
        <v>50</v>
      </c>
      <c r="E8" s="1">
        <f>34286/24</f>
        <v>1428.5833333333333</v>
      </c>
      <c r="F8" s="1">
        <f t="shared" si="0"/>
        <v>1915.966386554622</v>
      </c>
      <c r="G8" s="1">
        <v>2280</v>
      </c>
      <c r="H8" s="1">
        <f t="shared" si="1"/>
        <v>1840.3361344537816</v>
      </c>
      <c r="I8" s="1">
        <v>2190</v>
      </c>
      <c r="J8" s="15" t="s">
        <v>27</v>
      </c>
      <c r="K8" s="16">
        <v>45453</v>
      </c>
      <c r="L8" s="18">
        <v>20</v>
      </c>
    </row>
    <row r="9" spans="1:12" x14ac:dyDescent="0.2">
      <c r="A9" s="8">
        <v>7801320242209</v>
      </c>
      <c r="B9" s="12" t="s">
        <v>521</v>
      </c>
      <c r="C9" s="13">
        <v>6</v>
      </c>
      <c r="D9" s="14" t="s">
        <v>50</v>
      </c>
      <c r="E9" s="1">
        <v>2553</v>
      </c>
      <c r="F9" s="1">
        <f t="shared" si="0"/>
        <v>2697.4789915966389</v>
      </c>
      <c r="G9" s="1">
        <v>3210</v>
      </c>
      <c r="H9" s="1">
        <f t="shared" si="1"/>
        <v>2613.4453781512607</v>
      </c>
      <c r="I9" s="1">
        <v>3110</v>
      </c>
      <c r="J9" s="15" t="s">
        <v>30</v>
      </c>
      <c r="K9" s="16">
        <v>45401</v>
      </c>
      <c r="L9" s="18">
        <v>2</v>
      </c>
    </row>
    <row r="10" spans="1:12" x14ac:dyDescent="0.2">
      <c r="A10" s="8">
        <v>7790272008554</v>
      </c>
      <c r="B10" s="12" t="s">
        <v>150</v>
      </c>
      <c r="C10" s="13">
        <v>12</v>
      </c>
      <c r="D10" s="14" t="s">
        <v>50</v>
      </c>
      <c r="E10" s="2">
        <f>16638.66/12</f>
        <v>1386.5550000000001</v>
      </c>
      <c r="F10" s="1">
        <f t="shared" si="0"/>
        <v>1453.7815126050421</v>
      </c>
      <c r="G10" s="2">
        <v>1730</v>
      </c>
      <c r="H10" s="1">
        <f t="shared" si="1"/>
        <v>1411.7647058823529</v>
      </c>
      <c r="I10" s="2">
        <v>1680</v>
      </c>
      <c r="J10" s="18" t="s">
        <v>42</v>
      </c>
      <c r="K10" s="16">
        <v>44805</v>
      </c>
      <c r="L10" s="18">
        <v>67</v>
      </c>
    </row>
    <row r="11" spans="1:12" x14ac:dyDescent="0.2">
      <c r="A11" s="9">
        <v>7803905000471</v>
      </c>
      <c r="B11" s="12" t="s">
        <v>414</v>
      </c>
      <c r="C11" s="13">
        <v>12</v>
      </c>
      <c r="D11" s="14" t="s">
        <v>50</v>
      </c>
      <c r="E11" s="2">
        <f>17042/12</f>
        <v>1420.1666666666667</v>
      </c>
      <c r="F11" s="1">
        <f t="shared" si="0"/>
        <v>1521.0084033613446</v>
      </c>
      <c r="G11" s="2">
        <v>1810</v>
      </c>
      <c r="H11" s="1">
        <f t="shared" si="1"/>
        <v>1487.3949579831933</v>
      </c>
      <c r="I11" s="2">
        <v>1770</v>
      </c>
      <c r="J11" s="18" t="s">
        <v>415</v>
      </c>
      <c r="K11" s="16">
        <v>44951</v>
      </c>
      <c r="L11" s="18">
        <v>48</v>
      </c>
    </row>
    <row r="12" spans="1:12" x14ac:dyDescent="0.2">
      <c r="A12" s="8">
        <v>7790272007144</v>
      </c>
      <c r="B12" s="19" t="s">
        <v>106</v>
      </c>
      <c r="C12" s="13">
        <v>12</v>
      </c>
      <c r="D12" s="14" t="s">
        <v>50</v>
      </c>
      <c r="E12" s="2">
        <f>13008/12</f>
        <v>1084</v>
      </c>
      <c r="F12" s="1">
        <f t="shared" si="0"/>
        <v>1361.3445378151262</v>
      </c>
      <c r="G12" s="2">
        <v>1620</v>
      </c>
      <c r="H12" s="1">
        <f t="shared" si="1"/>
        <v>1310.9243697478992</v>
      </c>
      <c r="I12" s="2">
        <v>1560</v>
      </c>
      <c r="J12" s="15" t="s">
        <v>677</v>
      </c>
      <c r="K12" s="16">
        <v>45490</v>
      </c>
      <c r="L12" s="18">
        <v>52</v>
      </c>
    </row>
    <row r="13" spans="1:12" x14ac:dyDescent="0.2">
      <c r="A13" s="8">
        <v>7804947004588</v>
      </c>
      <c r="B13" s="12" t="s">
        <v>413</v>
      </c>
      <c r="C13" s="13">
        <v>12</v>
      </c>
      <c r="D13" s="14" t="s">
        <v>50</v>
      </c>
      <c r="E13" s="1">
        <v>360</v>
      </c>
      <c r="F13" s="1">
        <f t="shared" si="0"/>
        <v>521.00840336134456</v>
      </c>
      <c r="G13" s="1">
        <v>620</v>
      </c>
      <c r="H13" s="1">
        <f t="shared" si="1"/>
        <v>504.20168067226894</v>
      </c>
      <c r="I13" s="1">
        <v>600</v>
      </c>
      <c r="J13" s="15" t="s">
        <v>39</v>
      </c>
      <c r="K13" s="16">
        <v>44768</v>
      </c>
      <c r="L13" s="18">
        <v>37</v>
      </c>
    </row>
    <row r="14" spans="1:12" x14ac:dyDescent="0.2">
      <c r="A14" s="8">
        <v>7802410001379</v>
      </c>
      <c r="B14" s="12" t="s">
        <v>358</v>
      </c>
      <c r="C14" s="13">
        <v>50</v>
      </c>
      <c r="D14" s="14" t="s">
        <v>50</v>
      </c>
      <c r="E14" s="1">
        <f>6920/50</f>
        <v>138.4</v>
      </c>
      <c r="F14" s="1">
        <f t="shared" si="0"/>
        <v>193.27731092436974</v>
      </c>
      <c r="G14" s="1">
        <v>230</v>
      </c>
      <c r="H14" s="1">
        <f t="shared" si="1"/>
        <v>184.87394957983193</v>
      </c>
      <c r="I14" s="1">
        <v>220</v>
      </c>
      <c r="J14" s="15" t="s">
        <v>357</v>
      </c>
      <c r="K14" s="16">
        <v>44902</v>
      </c>
      <c r="L14" s="18">
        <v>10</v>
      </c>
    </row>
    <row r="15" spans="1:12" x14ac:dyDescent="0.2">
      <c r="A15" s="8">
        <v>736952217257</v>
      </c>
      <c r="B15" s="20" t="s">
        <v>730</v>
      </c>
      <c r="C15" s="13">
        <v>18</v>
      </c>
      <c r="D15" s="14" t="s">
        <v>50</v>
      </c>
      <c r="E15" s="2">
        <v>1890</v>
      </c>
      <c r="F15" s="1">
        <f t="shared" si="0"/>
        <v>638.65546218487395</v>
      </c>
      <c r="G15" s="2">
        <v>760</v>
      </c>
      <c r="H15" s="1">
        <f t="shared" si="1"/>
        <v>588.23529411764707</v>
      </c>
      <c r="I15" s="2">
        <v>700</v>
      </c>
      <c r="J15" s="18" t="s">
        <v>93</v>
      </c>
      <c r="K15" s="16">
        <v>43984</v>
      </c>
      <c r="L15" s="18">
        <v>288</v>
      </c>
    </row>
    <row r="16" spans="1:12" x14ac:dyDescent="0.2">
      <c r="A16" s="9">
        <v>7805190000310</v>
      </c>
      <c r="B16" s="12" t="s">
        <v>665</v>
      </c>
      <c r="C16" s="13">
        <v>12</v>
      </c>
      <c r="D16" s="14" t="s">
        <v>50</v>
      </c>
      <c r="E16" s="2">
        <f>556/1.19</f>
        <v>467.22689075630257</v>
      </c>
      <c r="F16" s="1">
        <f t="shared" si="0"/>
        <v>647.05882352941182</v>
      </c>
      <c r="G16" s="2">
        <v>770</v>
      </c>
      <c r="H16" s="1">
        <f t="shared" si="1"/>
        <v>621.84873949579833</v>
      </c>
      <c r="I16" s="2">
        <v>740</v>
      </c>
      <c r="J16" s="18" t="s">
        <v>547</v>
      </c>
      <c r="K16" s="16">
        <v>45455</v>
      </c>
      <c r="L16" s="18">
        <v>58</v>
      </c>
    </row>
    <row r="17" spans="1:12" x14ac:dyDescent="0.2">
      <c r="A17" s="8">
        <v>7802410021384</v>
      </c>
      <c r="B17" s="12" t="s">
        <v>363</v>
      </c>
      <c r="C17" s="13">
        <v>50</v>
      </c>
      <c r="D17" s="14" t="s">
        <v>50</v>
      </c>
      <c r="E17" s="1">
        <f>6880/50</f>
        <v>137.6</v>
      </c>
      <c r="F17" s="1">
        <f t="shared" si="0"/>
        <v>193.27731092436974</v>
      </c>
      <c r="G17" s="1">
        <v>230</v>
      </c>
      <c r="H17" s="1">
        <f t="shared" si="1"/>
        <v>184.87394957983193</v>
      </c>
      <c r="I17" s="1">
        <v>220</v>
      </c>
      <c r="J17" s="15" t="s">
        <v>357</v>
      </c>
      <c r="K17" s="16">
        <v>44902</v>
      </c>
      <c r="L17" s="18">
        <v>10</v>
      </c>
    </row>
    <row r="18" spans="1:12" x14ac:dyDescent="0.2">
      <c r="A18" s="8">
        <v>7808304316376</v>
      </c>
      <c r="B18" s="12" t="s">
        <v>535</v>
      </c>
      <c r="C18" s="13">
        <v>12</v>
      </c>
      <c r="D18" s="14" t="s">
        <v>50</v>
      </c>
      <c r="E18" s="2">
        <f>2590/1.19</f>
        <v>2176.4705882352941</v>
      </c>
      <c r="F18" s="1">
        <f t="shared" si="0"/>
        <v>3109.2436974789916</v>
      </c>
      <c r="G18" s="2">
        <v>3700</v>
      </c>
      <c r="H18" s="1">
        <f t="shared" si="1"/>
        <v>2983.1932773109247</v>
      </c>
      <c r="I18" s="2">
        <v>3550</v>
      </c>
      <c r="J18" s="18" t="s">
        <v>547</v>
      </c>
      <c r="K18" s="16">
        <v>45308</v>
      </c>
      <c r="L18" s="18">
        <v>2</v>
      </c>
    </row>
    <row r="19" spans="1:12" x14ac:dyDescent="0.2">
      <c r="A19" s="8">
        <v>7805020002415</v>
      </c>
      <c r="B19" s="12" t="s">
        <v>169</v>
      </c>
      <c r="C19" s="13">
        <v>12</v>
      </c>
      <c r="D19" s="14" t="s">
        <v>50</v>
      </c>
      <c r="E19" s="1">
        <f>12543/12</f>
        <v>1045.25</v>
      </c>
      <c r="F19" s="1">
        <f t="shared" si="0"/>
        <v>840.3361344537816</v>
      </c>
      <c r="G19" s="1">
        <v>1000</v>
      </c>
      <c r="H19" s="1">
        <f t="shared" si="1"/>
        <v>840.3361344537816</v>
      </c>
      <c r="I19" s="1">
        <v>1000</v>
      </c>
      <c r="J19" s="18" t="s">
        <v>17</v>
      </c>
      <c r="K19" s="16">
        <v>44770</v>
      </c>
      <c r="L19" s="18">
        <v>195</v>
      </c>
    </row>
    <row r="20" spans="1:12" x14ac:dyDescent="0.2">
      <c r="A20" s="8">
        <v>769503436005</v>
      </c>
      <c r="B20" s="12" t="s">
        <v>612</v>
      </c>
      <c r="C20" s="13">
        <v>1</v>
      </c>
      <c r="D20" s="14" t="s">
        <v>50</v>
      </c>
      <c r="E20" s="21">
        <v>664</v>
      </c>
      <c r="F20" s="1">
        <f t="shared" si="0"/>
        <v>840.3361344537816</v>
      </c>
      <c r="G20" s="21">
        <v>1000</v>
      </c>
      <c r="H20" s="1">
        <f t="shared" si="1"/>
        <v>806.72268907563034</v>
      </c>
      <c r="I20" s="21">
        <v>960</v>
      </c>
      <c r="J20" s="18" t="s">
        <v>547</v>
      </c>
      <c r="K20" s="16">
        <v>45400</v>
      </c>
      <c r="L20" s="18">
        <v>14</v>
      </c>
    </row>
    <row r="21" spans="1:12" x14ac:dyDescent="0.2">
      <c r="A21" s="22">
        <v>3894143695479</v>
      </c>
      <c r="B21" s="12" t="s">
        <v>170</v>
      </c>
      <c r="C21" s="13">
        <v>10</v>
      </c>
      <c r="D21" s="14" t="s">
        <v>50</v>
      </c>
      <c r="E21" s="2">
        <f>899/1.19</f>
        <v>755.46218487394958</v>
      </c>
      <c r="F21" s="1">
        <f t="shared" si="0"/>
        <v>1008.4033613445379</v>
      </c>
      <c r="G21" s="2">
        <v>1200</v>
      </c>
      <c r="H21" s="1">
        <f t="shared" si="1"/>
        <v>974.78991596638662</v>
      </c>
      <c r="I21" s="2">
        <v>1160</v>
      </c>
      <c r="J21" s="18" t="s">
        <v>89</v>
      </c>
      <c r="K21" s="16">
        <v>45044</v>
      </c>
      <c r="L21" s="18">
        <v>10</v>
      </c>
    </row>
    <row r="22" spans="1:12" x14ac:dyDescent="0.2">
      <c r="A22" s="9">
        <v>7804651630004</v>
      </c>
      <c r="B22" s="12" t="s">
        <v>573</v>
      </c>
      <c r="C22" s="13">
        <v>12</v>
      </c>
      <c r="D22" s="14" t="s">
        <v>50</v>
      </c>
      <c r="E22" s="2">
        <f>2220/12</f>
        <v>185</v>
      </c>
      <c r="F22" s="1">
        <f t="shared" si="0"/>
        <v>277.31092436974791</v>
      </c>
      <c r="G22" s="2">
        <v>330</v>
      </c>
      <c r="H22" s="1">
        <f t="shared" si="1"/>
        <v>260.50420168067228</v>
      </c>
      <c r="I22" s="2">
        <v>310</v>
      </c>
      <c r="J22" s="18" t="s">
        <v>13</v>
      </c>
      <c r="K22" s="16">
        <v>45348</v>
      </c>
      <c r="L22" s="18">
        <v>22</v>
      </c>
    </row>
    <row r="23" spans="1:12" x14ac:dyDescent="0.2">
      <c r="A23" s="8">
        <v>780530050310</v>
      </c>
      <c r="B23" s="12" t="s">
        <v>652</v>
      </c>
      <c r="C23" s="13">
        <v>12</v>
      </c>
      <c r="D23" s="14" t="s">
        <v>50</v>
      </c>
      <c r="E23" s="2">
        <v>2058</v>
      </c>
      <c r="F23" s="1">
        <f t="shared" si="0"/>
        <v>2949.5798319327732</v>
      </c>
      <c r="G23" s="2">
        <v>3510</v>
      </c>
      <c r="H23" s="1">
        <f t="shared" si="1"/>
        <v>2831.932773109244</v>
      </c>
      <c r="I23" s="2">
        <v>3370</v>
      </c>
      <c r="J23" s="18" t="s">
        <v>353</v>
      </c>
      <c r="K23" s="16">
        <v>45448</v>
      </c>
      <c r="L23" s="18">
        <v>19</v>
      </c>
    </row>
    <row r="24" spans="1:12" x14ac:dyDescent="0.2">
      <c r="A24" s="22">
        <v>7868000660319</v>
      </c>
      <c r="B24" s="19" t="s">
        <v>574</v>
      </c>
      <c r="C24" s="13">
        <v>1</v>
      </c>
      <c r="D24" s="14" t="s">
        <v>50</v>
      </c>
      <c r="E24" s="2">
        <v>2853</v>
      </c>
      <c r="F24" s="1">
        <f t="shared" si="0"/>
        <v>4084.0336134453783</v>
      </c>
      <c r="G24" s="2">
        <v>4860</v>
      </c>
      <c r="H24" s="1">
        <f t="shared" si="1"/>
        <v>3915.9663865546222</v>
      </c>
      <c r="I24" s="2">
        <v>4660</v>
      </c>
      <c r="J24" s="18" t="s">
        <v>575</v>
      </c>
      <c r="K24" s="16">
        <v>45406</v>
      </c>
      <c r="L24" s="18">
        <v>3</v>
      </c>
    </row>
    <row r="25" spans="1:12" x14ac:dyDescent="0.2">
      <c r="A25" s="22">
        <v>7868000660326</v>
      </c>
      <c r="B25" s="19" t="s">
        <v>633</v>
      </c>
      <c r="C25" s="13">
        <v>1</v>
      </c>
      <c r="D25" s="14" t="s">
        <v>50</v>
      </c>
      <c r="E25" s="2">
        <v>8264</v>
      </c>
      <c r="F25" s="1">
        <f t="shared" si="0"/>
        <v>12722.689075630253</v>
      </c>
      <c r="G25" s="2">
        <v>15140</v>
      </c>
      <c r="H25" s="1">
        <f t="shared" si="1"/>
        <v>12159.663865546219</v>
      </c>
      <c r="I25" s="2">
        <v>14470</v>
      </c>
      <c r="J25" s="18" t="s">
        <v>575</v>
      </c>
      <c r="K25" s="16">
        <v>45406</v>
      </c>
      <c r="L25" s="18">
        <v>2</v>
      </c>
    </row>
    <row r="26" spans="1:12" x14ac:dyDescent="0.2">
      <c r="A26" s="8">
        <v>3894143695738</v>
      </c>
      <c r="B26" s="12" t="s">
        <v>412</v>
      </c>
      <c r="C26" s="13">
        <v>10</v>
      </c>
      <c r="D26" s="14" t="s">
        <v>50</v>
      </c>
      <c r="E26" s="1">
        <f>1509/1.19</f>
        <v>1268.0672268907563</v>
      </c>
      <c r="F26" s="1">
        <f t="shared" si="0"/>
        <v>2126.0504201680674</v>
      </c>
      <c r="G26" s="1">
        <v>2530</v>
      </c>
      <c r="H26" s="1">
        <f t="shared" si="1"/>
        <v>2025.2100840336136</v>
      </c>
      <c r="I26" s="1">
        <v>2410</v>
      </c>
      <c r="J26" s="18" t="s">
        <v>89</v>
      </c>
      <c r="K26" s="16">
        <v>45408</v>
      </c>
      <c r="L26" s="18">
        <v>87</v>
      </c>
    </row>
    <row r="27" spans="1:12" x14ac:dyDescent="0.2">
      <c r="A27" s="8">
        <v>7801420001850</v>
      </c>
      <c r="B27" s="12" t="s">
        <v>687</v>
      </c>
      <c r="C27" s="13">
        <v>10</v>
      </c>
      <c r="D27" s="14" t="s">
        <v>50</v>
      </c>
      <c r="E27" s="1">
        <f>9244/10</f>
        <v>924.4</v>
      </c>
      <c r="F27" s="1">
        <f t="shared" si="0"/>
        <v>1168.0672268907563</v>
      </c>
      <c r="G27" s="1">
        <v>1390</v>
      </c>
      <c r="H27" s="1">
        <f t="shared" si="1"/>
        <v>1126.0504201680674</v>
      </c>
      <c r="I27" s="1">
        <v>1340</v>
      </c>
      <c r="J27" s="18" t="s">
        <v>677</v>
      </c>
      <c r="K27" s="16">
        <v>45490</v>
      </c>
      <c r="L27" s="18">
        <v>60</v>
      </c>
    </row>
    <row r="28" spans="1:12" x14ac:dyDescent="0.2">
      <c r="A28" s="8">
        <v>7804609021021</v>
      </c>
      <c r="B28" s="12" t="s">
        <v>691</v>
      </c>
      <c r="C28" s="13">
        <v>10</v>
      </c>
      <c r="D28" s="14" t="s">
        <v>50</v>
      </c>
      <c r="E28" s="1">
        <v>790</v>
      </c>
      <c r="F28" s="1">
        <f t="shared" si="0"/>
        <v>1058.8235294117649</v>
      </c>
      <c r="G28" s="1">
        <v>1260</v>
      </c>
      <c r="H28" s="1">
        <f t="shared" si="1"/>
        <v>1025.2100840336134</v>
      </c>
      <c r="I28" s="1">
        <v>1220</v>
      </c>
      <c r="J28" s="15" t="s">
        <v>91</v>
      </c>
      <c r="K28" s="16">
        <v>45490</v>
      </c>
      <c r="L28" s="18">
        <v>3</v>
      </c>
    </row>
    <row r="29" spans="1:12" x14ac:dyDescent="0.2">
      <c r="A29" s="9">
        <v>75076238</v>
      </c>
      <c r="B29" s="12" t="s">
        <v>626</v>
      </c>
      <c r="C29" s="13">
        <v>12</v>
      </c>
      <c r="D29" s="14" t="s">
        <v>50</v>
      </c>
      <c r="E29" s="2">
        <f>1306/1.19</f>
        <v>1097.4789915966387</v>
      </c>
      <c r="F29" s="1">
        <f t="shared" si="0"/>
        <v>1579.8319327731092</v>
      </c>
      <c r="G29" s="2">
        <v>1880</v>
      </c>
      <c r="H29" s="1">
        <f t="shared" si="1"/>
        <v>1512.6050420168067</v>
      </c>
      <c r="I29" s="2">
        <v>1800</v>
      </c>
      <c r="J29" s="18" t="s">
        <v>353</v>
      </c>
      <c r="K29" s="16">
        <v>45404</v>
      </c>
      <c r="L29" s="18">
        <v>18</v>
      </c>
    </row>
    <row r="30" spans="1:12" x14ac:dyDescent="0.2">
      <c r="A30" s="9">
        <v>75076290</v>
      </c>
      <c r="B30" s="12" t="s">
        <v>623</v>
      </c>
      <c r="C30" s="13">
        <v>12</v>
      </c>
      <c r="D30" s="14" t="s">
        <v>50</v>
      </c>
      <c r="E30" s="2">
        <f>1306/1.19</f>
        <v>1097.4789915966387</v>
      </c>
      <c r="F30" s="1">
        <f t="shared" si="0"/>
        <v>1579.8319327731092</v>
      </c>
      <c r="G30" s="2">
        <v>1880</v>
      </c>
      <c r="H30" s="1">
        <f t="shared" si="1"/>
        <v>1512.6050420168067</v>
      </c>
      <c r="I30" s="2">
        <v>1800</v>
      </c>
      <c r="J30" s="18" t="s">
        <v>353</v>
      </c>
      <c r="K30" s="16">
        <v>45404</v>
      </c>
      <c r="L30" s="18">
        <v>11</v>
      </c>
    </row>
    <row r="31" spans="1:12" x14ac:dyDescent="0.2">
      <c r="A31" s="9">
        <v>75076252</v>
      </c>
      <c r="B31" s="12" t="s">
        <v>624</v>
      </c>
      <c r="C31" s="13">
        <v>12</v>
      </c>
      <c r="D31" s="14" t="s">
        <v>50</v>
      </c>
      <c r="E31" s="2">
        <f>1306/1.19</f>
        <v>1097.4789915966387</v>
      </c>
      <c r="F31" s="1">
        <f t="shared" si="0"/>
        <v>1579.8319327731092</v>
      </c>
      <c r="G31" s="2">
        <v>1880</v>
      </c>
      <c r="H31" s="1">
        <f t="shared" si="1"/>
        <v>1512.6050420168067</v>
      </c>
      <c r="I31" s="2">
        <v>1800</v>
      </c>
      <c r="J31" s="18" t="s">
        <v>353</v>
      </c>
      <c r="K31" s="16">
        <v>45404</v>
      </c>
      <c r="L31" s="18">
        <v>33</v>
      </c>
    </row>
    <row r="32" spans="1:12" x14ac:dyDescent="0.2">
      <c r="A32" s="9">
        <v>75076221</v>
      </c>
      <c r="B32" s="12" t="s">
        <v>625</v>
      </c>
      <c r="C32" s="13">
        <v>12</v>
      </c>
      <c r="D32" s="14" t="s">
        <v>50</v>
      </c>
      <c r="E32" s="2">
        <f>1306/1.19</f>
        <v>1097.4789915966387</v>
      </c>
      <c r="F32" s="1">
        <f t="shared" si="0"/>
        <v>1579.8319327731092</v>
      </c>
      <c r="G32" s="2">
        <v>1880</v>
      </c>
      <c r="H32" s="1">
        <f t="shared" si="1"/>
        <v>1512.6050420168067</v>
      </c>
      <c r="I32" s="2">
        <v>1800</v>
      </c>
      <c r="J32" s="18" t="s">
        <v>353</v>
      </c>
      <c r="K32" s="16">
        <v>45404</v>
      </c>
      <c r="L32" s="18">
        <v>5</v>
      </c>
    </row>
    <row r="33" spans="1:12" x14ac:dyDescent="0.2">
      <c r="A33" s="8">
        <v>7801505231912</v>
      </c>
      <c r="B33" s="20" t="s">
        <v>456</v>
      </c>
      <c r="C33" s="13">
        <v>20</v>
      </c>
      <c r="D33" s="14" t="s">
        <v>50</v>
      </c>
      <c r="E33" s="2">
        <f>1190/1.19</f>
        <v>1000</v>
      </c>
      <c r="F33" s="1">
        <f t="shared" si="0"/>
        <v>1344.5378151260504</v>
      </c>
      <c r="G33" s="2">
        <v>1600</v>
      </c>
      <c r="H33" s="1">
        <f t="shared" si="1"/>
        <v>1294.1176470588236</v>
      </c>
      <c r="I33" s="2">
        <v>1540</v>
      </c>
      <c r="J33" s="15" t="s">
        <v>677</v>
      </c>
      <c r="K33" s="16">
        <v>45490</v>
      </c>
      <c r="L33" s="18">
        <v>50</v>
      </c>
    </row>
    <row r="34" spans="1:12" x14ac:dyDescent="0.2">
      <c r="A34" s="8">
        <v>7804676740160</v>
      </c>
      <c r="B34" s="12" t="s">
        <v>685</v>
      </c>
      <c r="C34" s="13">
        <v>10</v>
      </c>
      <c r="D34" s="14" t="s">
        <v>50</v>
      </c>
      <c r="E34" s="1">
        <f>7555/10</f>
        <v>755.5</v>
      </c>
      <c r="F34" s="1">
        <f t="shared" si="0"/>
        <v>949.57983193277312</v>
      </c>
      <c r="G34" s="1">
        <v>1130</v>
      </c>
      <c r="H34" s="1">
        <f t="shared" si="1"/>
        <v>915.96638655462186</v>
      </c>
      <c r="I34" s="1">
        <v>1090</v>
      </c>
      <c r="J34" s="15" t="s">
        <v>677</v>
      </c>
      <c r="K34" s="16">
        <v>45490</v>
      </c>
      <c r="L34" s="18">
        <v>77</v>
      </c>
    </row>
    <row r="35" spans="1:12" x14ac:dyDescent="0.2">
      <c r="A35" s="8" t="s">
        <v>503</v>
      </c>
      <c r="B35" s="12" t="s">
        <v>504</v>
      </c>
      <c r="C35" s="13">
        <v>10</v>
      </c>
      <c r="D35" s="14" t="s">
        <v>50</v>
      </c>
      <c r="E35" s="2">
        <f>2626/1.19</f>
        <v>2206.7226890756306</v>
      </c>
      <c r="F35" s="1">
        <f t="shared" si="0"/>
        <v>3159.6638655462184</v>
      </c>
      <c r="G35" s="2">
        <v>3760</v>
      </c>
      <c r="H35" s="1">
        <f t="shared" si="1"/>
        <v>3033.6134453781515</v>
      </c>
      <c r="I35" s="2">
        <v>3610</v>
      </c>
      <c r="J35" s="18" t="s">
        <v>547</v>
      </c>
      <c r="K35" s="16">
        <v>45273</v>
      </c>
      <c r="L35" s="18">
        <v>3</v>
      </c>
    </row>
    <row r="36" spans="1:12" x14ac:dyDescent="0.2">
      <c r="A36" s="8">
        <v>781718916967</v>
      </c>
      <c r="B36" s="12" t="s">
        <v>505</v>
      </c>
      <c r="C36" s="13">
        <v>10</v>
      </c>
      <c r="D36" s="14" t="s">
        <v>50</v>
      </c>
      <c r="E36" s="2">
        <f>600.3/1.19</f>
        <v>504.45378151260502</v>
      </c>
      <c r="F36" s="1">
        <f t="shared" si="0"/>
        <v>747.89915966386559</v>
      </c>
      <c r="G36" s="2">
        <v>890</v>
      </c>
      <c r="H36" s="1">
        <f t="shared" si="1"/>
        <v>722.68907563025209</v>
      </c>
      <c r="I36" s="2">
        <v>860</v>
      </c>
      <c r="J36" s="18" t="s">
        <v>547</v>
      </c>
      <c r="K36" s="16">
        <v>45400</v>
      </c>
      <c r="L36" s="18">
        <v>20</v>
      </c>
    </row>
    <row r="37" spans="1:12" x14ac:dyDescent="0.2">
      <c r="A37" s="8">
        <v>781718916981</v>
      </c>
      <c r="B37" s="12" t="s">
        <v>502</v>
      </c>
      <c r="C37" s="13">
        <v>10</v>
      </c>
      <c r="D37" s="14" t="s">
        <v>50</v>
      </c>
      <c r="E37" s="2">
        <f>989/1.19</f>
        <v>831.09243697478996</v>
      </c>
      <c r="F37" s="1">
        <f t="shared" si="0"/>
        <v>1193.2773109243699</v>
      </c>
      <c r="G37" s="2">
        <v>1420</v>
      </c>
      <c r="H37" s="1">
        <f t="shared" si="1"/>
        <v>1151.2605042016808</v>
      </c>
      <c r="I37" s="2">
        <v>1370</v>
      </c>
      <c r="J37" s="18" t="s">
        <v>547</v>
      </c>
      <c r="K37" s="16">
        <v>45400</v>
      </c>
      <c r="L37" s="18">
        <v>25</v>
      </c>
    </row>
    <row r="38" spans="1:12" x14ac:dyDescent="0.2">
      <c r="A38" s="8">
        <v>7807991357334</v>
      </c>
      <c r="B38" s="20" t="s">
        <v>171</v>
      </c>
      <c r="C38" s="13">
        <v>1</v>
      </c>
      <c r="D38" s="14" t="s">
        <v>153</v>
      </c>
      <c r="E38" s="2">
        <f>320/1.19</f>
        <v>268.9075630252101</v>
      </c>
      <c r="F38" s="1">
        <f t="shared" si="0"/>
        <v>470.58823529411768</v>
      </c>
      <c r="G38" s="2">
        <v>560</v>
      </c>
      <c r="H38" s="1">
        <f t="shared" si="1"/>
        <v>445.37815126050424</v>
      </c>
      <c r="I38" s="2">
        <v>530</v>
      </c>
      <c r="J38" s="18" t="s">
        <v>19</v>
      </c>
      <c r="K38" s="16">
        <v>44743</v>
      </c>
      <c r="L38" s="18">
        <v>134</v>
      </c>
    </row>
    <row r="39" spans="1:12" x14ac:dyDescent="0.2">
      <c r="A39" s="8">
        <v>7808304316444</v>
      </c>
      <c r="B39" s="12" t="s">
        <v>673</v>
      </c>
      <c r="C39" s="13">
        <v>1</v>
      </c>
      <c r="D39" s="14" t="s">
        <v>50</v>
      </c>
      <c r="E39" s="2">
        <f>3310/1.19</f>
        <v>2781.5126050420167</v>
      </c>
      <c r="F39" s="1">
        <f t="shared" si="0"/>
        <v>3983.1932773109247</v>
      </c>
      <c r="G39" s="2">
        <v>4740</v>
      </c>
      <c r="H39" s="1">
        <f t="shared" si="1"/>
        <v>3823.5294117647059</v>
      </c>
      <c r="I39" s="2">
        <v>4550</v>
      </c>
      <c r="J39" s="18" t="s">
        <v>547</v>
      </c>
      <c r="K39" s="16">
        <v>45478</v>
      </c>
      <c r="L39" s="18">
        <v>6</v>
      </c>
    </row>
    <row r="40" spans="1:12" x14ac:dyDescent="0.2">
      <c r="A40" s="9">
        <v>7808304315904</v>
      </c>
      <c r="B40" s="12" t="s">
        <v>515</v>
      </c>
      <c r="C40" s="13">
        <v>30</v>
      </c>
      <c r="D40" s="14" t="s">
        <v>50</v>
      </c>
      <c r="E40" s="2">
        <f>1189/1.19</f>
        <v>999.15966386554624</v>
      </c>
      <c r="F40" s="1">
        <f t="shared" si="0"/>
        <v>1436.9747899159665</v>
      </c>
      <c r="G40" s="2">
        <v>1710</v>
      </c>
      <c r="H40" s="1">
        <f t="shared" si="1"/>
        <v>1378.1512605042017</v>
      </c>
      <c r="I40" s="2">
        <v>1640</v>
      </c>
      <c r="J40" s="18" t="s">
        <v>547</v>
      </c>
      <c r="K40" s="16">
        <v>45273</v>
      </c>
      <c r="L40" s="18">
        <v>10</v>
      </c>
    </row>
    <row r="41" spans="1:12" x14ac:dyDescent="0.2">
      <c r="A41" s="8">
        <v>7804920006882</v>
      </c>
      <c r="B41" s="12" t="s">
        <v>409</v>
      </c>
      <c r="C41" s="13">
        <v>12</v>
      </c>
      <c r="D41" s="14" t="s">
        <v>50</v>
      </c>
      <c r="E41" s="1">
        <v>700</v>
      </c>
      <c r="F41" s="1">
        <f t="shared" si="0"/>
        <v>1084.0336134453783</v>
      </c>
      <c r="G41" s="1">
        <v>1290</v>
      </c>
      <c r="H41" s="1">
        <f t="shared" si="1"/>
        <v>1470.5882352941178</v>
      </c>
      <c r="I41" s="1">
        <v>1750</v>
      </c>
      <c r="J41" s="18" t="s">
        <v>474</v>
      </c>
      <c r="K41" s="16">
        <v>45273</v>
      </c>
      <c r="L41" s="18">
        <v>156</v>
      </c>
    </row>
    <row r="42" spans="1:12" x14ac:dyDescent="0.2">
      <c r="A42" s="8">
        <v>7804920021410</v>
      </c>
      <c r="B42" s="15" t="s">
        <v>405</v>
      </c>
      <c r="C42" s="8">
        <v>10</v>
      </c>
      <c r="D42" s="8" t="s">
        <v>50</v>
      </c>
      <c r="E42" s="8">
        <v>650</v>
      </c>
      <c r="F42" s="1">
        <f t="shared" si="0"/>
        <v>1134.453781512605</v>
      </c>
      <c r="G42" s="8">
        <v>1350</v>
      </c>
      <c r="H42" s="1">
        <f t="shared" si="1"/>
        <v>1050.420168067227</v>
      </c>
      <c r="I42" s="8">
        <v>1250</v>
      </c>
      <c r="J42" s="18" t="s">
        <v>474</v>
      </c>
      <c r="K42" s="16">
        <v>45273</v>
      </c>
      <c r="L42" s="18">
        <v>24</v>
      </c>
    </row>
    <row r="43" spans="1:12" x14ac:dyDescent="0.2">
      <c r="A43" s="8">
        <v>7804920001207</v>
      </c>
      <c r="B43" s="12" t="s">
        <v>406</v>
      </c>
      <c r="C43" s="13">
        <v>12</v>
      </c>
      <c r="D43" s="14" t="s">
        <v>50</v>
      </c>
      <c r="E43" s="1">
        <v>700</v>
      </c>
      <c r="F43" s="1">
        <f t="shared" si="0"/>
        <v>1084.0336134453783</v>
      </c>
      <c r="G43" s="1">
        <v>1290</v>
      </c>
      <c r="H43" s="1">
        <f t="shared" si="1"/>
        <v>966.38655462184875</v>
      </c>
      <c r="I43" s="1">
        <v>1150</v>
      </c>
      <c r="J43" s="18" t="s">
        <v>474</v>
      </c>
      <c r="K43" s="16">
        <v>45273</v>
      </c>
      <c r="L43" s="18">
        <v>72</v>
      </c>
    </row>
    <row r="44" spans="1:12" x14ac:dyDescent="0.2">
      <c r="A44" s="8">
        <v>7804920006790</v>
      </c>
      <c r="B44" s="12" t="s">
        <v>425</v>
      </c>
      <c r="C44" s="13">
        <v>12</v>
      </c>
      <c r="D44" s="14" t="s">
        <v>50</v>
      </c>
      <c r="E44" s="1">
        <v>500</v>
      </c>
      <c r="F44" s="1">
        <f t="shared" si="0"/>
        <v>747.89915966386559</v>
      </c>
      <c r="G44" s="1">
        <v>890</v>
      </c>
      <c r="H44" s="1">
        <f t="shared" si="1"/>
        <v>680.67226890756308</v>
      </c>
      <c r="I44" s="1">
        <v>810</v>
      </c>
      <c r="J44" s="18" t="s">
        <v>474</v>
      </c>
      <c r="K44" s="16">
        <v>45273</v>
      </c>
      <c r="L44" s="18">
        <v>60</v>
      </c>
    </row>
    <row r="45" spans="1:12" x14ac:dyDescent="0.2">
      <c r="A45" s="8">
        <v>7804920006899</v>
      </c>
      <c r="B45" s="12" t="s">
        <v>410</v>
      </c>
      <c r="C45" s="13">
        <v>12</v>
      </c>
      <c r="D45" s="14" t="s">
        <v>50</v>
      </c>
      <c r="E45" s="1">
        <v>700</v>
      </c>
      <c r="F45" s="1">
        <f t="shared" si="0"/>
        <v>1428.5714285714287</v>
      </c>
      <c r="G45" s="1">
        <v>1700</v>
      </c>
      <c r="H45" s="1">
        <f t="shared" si="1"/>
        <v>1344.5378151260504</v>
      </c>
      <c r="I45" s="1">
        <v>1600</v>
      </c>
      <c r="J45" s="18" t="s">
        <v>474</v>
      </c>
      <c r="K45" s="16">
        <v>45273</v>
      </c>
      <c r="L45" s="18">
        <v>132</v>
      </c>
    </row>
    <row r="46" spans="1:12" x14ac:dyDescent="0.2">
      <c r="A46" s="8">
        <v>7804920001221</v>
      </c>
      <c r="B46" s="15" t="s">
        <v>403</v>
      </c>
      <c r="C46" s="8">
        <v>10</v>
      </c>
      <c r="D46" s="14" t="s">
        <v>50</v>
      </c>
      <c r="E46" s="1">
        <v>600</v>
      </c>
      <c r="F46" s="1">
        <f t="shared" si="0"/>
        <v>1134.453781512605</v>
      </c>
      <c r="G46" s="1">
        <v>1350</v>
      </c>
      <c r="H46" s="1">
        <f t="shared" si="1"/>
        <v>1050.420168067227</v>
      </c>
      <c r="I46" s="1">
        <v>1250</v>
      </c>
      <c r="J46" s="18" t="s">
        <v>474</v>
      </c>
      <c r="K46" s="16">
        <v>45273</v>
      </c>
      <c r="L46" s="18">
        <v>67</v>
      </c>
    </row>
    <row r="47" spans="1:12" x14ac:dyDescent="0.2">
      <c r="A47" s="8">
        <v>7804920007117</v>
      </c>
      <c r="B47" s="12" t="s">
        <v>424</v>
      </c>
      <c r="C47" s="13">
        <v>12</v>
      </c>
      <c r="D47" s="14" t="s">
        <v>50</v>
      </c>
      <c r="E47" s="1">
        <v>350</v>
      </c>
      <c r="F47" s="1">
        <f t="shared" si="0"/>
        <v>747.89915966386559</v>
      </c>
      <c r="G47" s="1">
        <v>890</v>
      </c>
      <c r="H47" s="1">
        <f t="shared" si="1"/>
        <v>663.86554621848745</v>
      </c>
      <c r="I47" s="1">
        <v>790</v>
      </c>
      <c r="J47" s="18" t="s">
        <v>474</v>
      </c>
      <c r="K47" s="16">
        <v>45273</v>
      </c>
      <c r="L47" s="18">
        <v>48</v>
      </c>
    </row>
    <row r="48" spans="1:12" x14ac:dyDescent="0.2">
      <c r="A48" s="8">
        <v>7804920021403</v>
      </c>
      <c r="B48" s="12" t="s">
        <v>411</v>
      </c>
      <c r="C48" s="13">
        <v>10</v>
      </c>
      <c r="D48" s="14" t="s">
        <v>50</v>
      </c>
      <c r="E48" s="1">
        <v>800</v>
      </c>
      <c r="F48" s="1">
        <f t="shared" si="0"/>
        <v>1134.453781512605</v>
      </c>
      <c r="G48" s="1">
        <v>1350</v>
      </c>
      <c r="H48" s="1">
        <f t="shared" si="1"/>
        <v>1050.420168067227</v>
      </c>
      <c r="I48" s="1">
        <v>1250</v>
      </c>
      <c r="J48" s="18" t="s">
        <v>474</v>
      </c>
      <c r="K48" s="16">
        <v>45273</v>
      </c>
      <c r="L48" s="18">
        <v>110</v>
      </c>
    </row>
    <row r="49" spans="1:12" x14ac:dyDescent="0.2">
      <c r="A49" s="8">
        <v>7804920001191</v>
      </c>
      <c r="B49" s="12" t="s">
        <v>404</v>
      </c>
      <c r="C49" s="13">
        <v>12</v>
      </c>
      <c r="D49" s="14" t="s">
        <v>50</v>
      </c>
      <c r="E49" s="1">
        <v>800</v>
      </c>
      <c r="F49" s="1">
        <f t="shared" si="0"/>
        <v>1428.5714285714287</v>
      </c>
      <c r="G49" s="1">
        <v>1700</v>
      </c>
      <c r="H49" s="1">
        <f t="shared" si="1"/>
        <v>1344.5378151260504</v>
      </c>
      <c r="I49" s="1">
        <v>1600</v>
      </c>
      <c r="J49" s="18" t="s">
        <v>474</v>
      </c>
      <c r="K49" s="16">
        <v>45273</v>
      </c>
      <c r="L49" s="18">
        <v>60</v>
      </c>
    </row>
    <row r="50" spans="1:12" x14ac:dyDescent="0.2">
      <c r="A50" s="8">
        <v>7804920006417</v>
      </c>
      <c r="B50" s="12" t="s">
        <v>408</v>
      </c>
      <c r="C50" s="13">
        <v>12</v>
      </c>
      <c r="D50" s="14" t="s">
        <v>50</v>
      </c>
      <c r="E50" s="1">
        <v>700</v>
      </c>
      <c r="F50" s="1">
        <f t="shared" si="0"/>
        <v>1008.4033613445379</v>
      </c>
      <c r="G50" s="1">
        <v>1200</v>
      </c>
      <c r="H50" s="1">
        <f t="shared" si="1"/>
        <v>915.96638655462186</v>
      </c>
      <c r="I50" s="1">
        <v>1090</v>
      </c>
      <c r="J50" s="18" t="s">
        <v>474</v>
      </c>
      <c r="K50" s="16">
        <v>45273</v>
      </c>
      <c r="L50" s="18">
        <v>48</v>
      </c>
    </row>
    <row r="51" spans="1:12" x14ac:dyDescent="0.2">
      <c r="A51" s="8">
        <v>7804920012890</v>
      </c>
      <c r="B51" s="15" t="s">
        <v>407</v>
      </c>
      <c r="C51" s="8">
        <v>10</v>
      </c>
      <c r="D51" s="14" t="s">
        <v>50</v>
      </c>
      <c r="E51" s="1">
        <v>500</v>
      </c>
      <c r="F51" s="1">
        <f t="shared" si="0"/>
        <v>983.19327731092437</v>
      </c>
      <c r="G51" s="1">
        <v>1170</v>
      </c>
      <c r="H51" s="1">
        <f t="shared" si="1"/>
        <v>899.15966386554624</v>
      </c>
      <c r="I51" s="1">
        <v>1070</v>
      </c>
      <c r="J51" s="18" t="s">
        <v>474</v>
      </c>
      <c r="K51" s="16">
        <v>45273</v>
      </c>
      <c r="L51" s="18">
        <v>22</v>
      </c>
    </row>
    <row r="52" spans="1:12" x14ac:dyDescent="0.2">
      <c r="A52" s="8">
        <v>7804920003027</v>
      </c>
      <c r="B52" s="12" t="s">
        <v>383</v>
      </c>
      <c r="C52" s="13">
        <v>10</v>
      </c>
      <c r="D52" s="14" t="s">
        <v>50</v>
      </c>
      <c r="E52" s="1">
        <v>1277.3109243697479</v>
      </c>
      <c r="F52" s="1">
        <f t="shared" si="0"/>
        <v>991.59663865546224</v>
      </c>
      <c r="G52" s="1">
        <v>1180</v>
      </c>
      <c r="H52" s="1">
        <f t="shared" si="1"/>
        <v>907.56302521008411</v>
      </c>
      <c r="I52" s="1">
        <v>1080</v>
      </c>
      <c r="J52" s="18" t="s">
        <v>474</v>
      </c>
      <c r="K52" s="16">
        <v>45273</v>
      </c>
      <c r="L52" s="18">
        <v>1510</v>
      </c>
    </row>
    <row r="53" spans="1:12" x14ac:dyDescent="0.2">
      <c r="A53" s="8">
        <v>7804920005182</v>
      </c>
      <c r="B53" s="12" t="s">
        <v>802</v>
      </c>
      <c r="C53" s="13">
        <v>10</v>
      </c>
      <c r="D53" s="14" t="s">
        <v>50</v>
      </c>
      <c r="E53" s="1">
        <v>1277.3109243697479</v>
      </c>
      <c r="F53" s="1">
        <f t="shared" si="0"/>
        <v>991.59663865546224</v>
      </c>
      <c r="G53" s="1">
        <v>1180</v>
      </c>
      <c r="H53" s="1">
        <f t="shared" si="1"/>
        <v>907.56302521008411</v>
      </c>
      <c r="I53" s="1">
        <v>1080</v>
      </c>
      <c r="J53" s="18" t="s">
        <v>474</v>
      </c>
      <c r="K53" s="16">
        <v>45273</v>
      </c>
      <c r="L53" s="18">
        <v>820</v>
      </c>
    </row>
    <row r="54" spans="1:12" x14ac:dyDescent="0.2">
      <c r="A54" s="8">
        <v>7804920007254</v>
      </c>
      <c r="B54" s="12" t="s">
        <v>801</v>
      </c>
      <c r="C54" s="13">
        <v>10</v>
      </c>
      <c r="D54" s="14" t="s">
        <v>50</v>
      </c>
      <c r="E54" s="1">
        <v>924.36974789915973</v>
      </c>
      <c r="F54" s="1">
        <f t="shared" si="0"/>
        <v>915.96638655462186</v>
      </c>
      <c r="G54" s="1">
        <v>1090</v>
      </c>
      <c r="H54" s="1">
        <f t="shared" si="1"/>
        <v>831.93277310924373</v>
      </c>
      <c r="I54" s="1">
        <v>990</v>
      </c>
      <c r="J54" s="18" t="s">
        <v>474</v>
      </c>
      <c r="K54" s="16">
        <v>45273</v>
      </c>
      <c r="L54" s="18">
        <v>480</v>
      </c>
    </row>
    <row r="55" spans="1:12" x14ac:dyDescent="0.2">
      <c r="A55" s="8">
        <v>7804920006936</v>
      </c>
      <c r="B55" s="12" t="s">
        <v>803</v>
      </c>
      <c r="C55" s="13">
        <v>10</v>
      </c>
      <c r="D55" s="14" t="s">
        <v>50</v>
      </c>
      <c r="E55" s="1">
        <v>1277.3109243697479</v>
      </c>
      <c r="F55" s="1">
        <f t="shared" si="0"/>
        <v>991.59663865546224</v>
      </c>
      <c r="G55" s="1">
        <v>1180</v>
      </c>
      <c r="H55" s="1">
        <f t="shared" si="1"/>
        <v>907.56302521008411</v>
      </c>
      <c r="I55" s="1">
        <v>1080</v>
      </c>
      <c r="J55" s="18" t="s">
        <v>474</v>
      </c>
      <c r="K55" s="16">
        <v>45273</v>
      </c>
      <c r="L55" s="18">
        <v>150</v>
      </c>
    </row>
    <row r="56" spans="1:12" x14ac:dyDescent="0.2">
      <c r="A56" s="8">
        <v>7804920007230</v>
      </c>
      <c r="B56" s="15" t="s">
        <v>804</v>
      </c>
      <c r="C56" s="8">
        <v>10</v>
      </c>
      <c r="D56" s="14" t="s">
        <v>50</v>
      </c>
      <c r="E56" s="1">
        <v>924.36974789915973</v>
      </c>
      <c r="F56" s="1">
        <f t="shared" si="0"/>
        <v>915.96638655462186</v>
      </c>
      <c r="G56" s="1">
        <v>1090</v>
      </c>
      <c r="H56" s="1">
        <f t="shared" si="1"/>
        <v>831.93277310924373</v>
      </c>
      <c r="I56" s="1">
        <v>990</v>
      </c>
      <c r="J56" s="18" t="s">
        <v>474</v>
      </c>
      <c r="K56" s="16">
        <v>45273</v>
      </c>
      <c r="L56" s="18">
        <v>50</v>
      </c>
    </row>
    <row r="57" spans="1:12" x14ac:dyDescent="0.2">
      <c r="A57" s="8">
        <v>7804920002525</v>
      </c>
      <c r="B57" s="12" t="s">
        <v>380</v>
      </c>
      <c r="C57" s="13">
        <v>10</v>
      </c>
      <c r="D57" s="14" t="s">
        <v>50</v>
      </c>
      <c r="E57" s="1">
        <v>1277.3109243697479</v>
      </c>
      <c r="F57" s="1">
        <f t="shared" si="0"/>
        <v>991.59663865546224</v>
      </c>
      <c r="G57" s="1">
        <v>1180</v>
      </c>
      <c r="H57" s="1">
        <f t="shared" si="1"/>
        <v>907.56302521008411</v>
      </c>
      <c r="I57" s="1">
        <v>1080</v>
      </c>
      <c r="J57" s="18" t="s">
        <v>474</v>
      </c>
      <c r="K57" s="16">
        <v>45273</v>
      </c>
      <c r="L57" s="18">
        <v>100</v>
      </c>
    </row>
    <row r="58" spans="1:12" x14ac:dyDescent="0.2">
      <c r="A58" s="8">
        <v>7804920006165</v>
      </c>
      <c r="B58" s="12" t="s">
        <v>805</v>
      </c>
      <c r="C58" s="13">
        <v>10</v>
      </c>
      <c r="D58" s="14" t="s">
        <v>50</v>
      </c>
      <c r="E58" s="1">
        <v>1277.3109243697479</v>
      </c>
      <c r="F58" s="1">
        <f t="shared" si="0"/>
        <v>991.59663865546224</v>
      </c>
      <c r="G58" s="1">
        <v>1180</v>
      </c>
      <c r="H58" s="1">
        <f t="shared" si="1"/>
        <v>907.56302521008411</v>
      </c>
      <c r="I58" s="1">
        <v>1080</v>
      </c>
      <c r="J58" s="18" t="s">
        <v>474</v>
      </c>
      <c r="K58" s="16">
        <v>45273</v>
      </c>
      <c r="L58" s="18">
        <v>370</v>
      </c>
    </row>
    <row r="59" spans="1:12" x14ac:dyDescent="0.2">
      <c r="A59" s="8">
        <v>7804920005823</v>
      </c>
      <c r="B59" s="12" t="s">
        <v>806</v>
      </c>
      <c r="C59" s="13">
        <v>10</v>
      </c>
      <c r="D59" s="14" t="s">
        <v>50</v>
      </c>
      <c r="E59" s="1">
        <v>1277.3109243697479</v>
      </c>
      <c r="F59" s="1">
        <f t="shared" si="0"/>
        <v>991.59663865546224</v>
      </c>
      <c r="G59" s="1">
        <v>1180</v>
      </c>
      <c r="H59" s="1">
        <f t="shared" si="1"/>
        <v>907.56302521008411</v>
      </c>
      <c r="I59" s="1">
        <v>1080</v>
      </c>
      <c r="J59" s="18" t="s">
        <v>474</v>
      </c>
      <c r="K59" s="16">
        <v>45273</v>
      </c>
      <c r="L59" s="18">
        <v>240</v>
      </c>
    </row>
    <row r="60" spans="1:12" x14ac:dyDescent="0.2">
      <c r="A60" s="8">
        <v>7804920007267</v>
      </c>
      <c r="B60" s="12" t="s">
        <v>807</v>
      </c>
      <c r="C60" s="13">
        <v>10</v>
      </c>
      <c r="D60" s="14" t="s">
        <v>50</v>
      </c>
      <c r="E60" s="1">
        <v>924.36974789915973</v>
      </c>
      <c r="F60" s="1">
        <f t="shared" si="0"/>
        <v>915.96638655462186</v>
      </c>
      <c r="G60" s="1">
        <v>1090</v>
      </c>
      <c r="H60" s="1">
        <f t="shared" si="1"/>
        <v>831.93277310924373</v>
      </c>
      <c r="I60" s="1">
        <v>990</v>
      </c>
      <c r="J60" s="18" t="s">
        <v>474</v>
      </c>
      <c r="K60" s="16">
        <v>45273</v>
      </c>
      <c r="L60" s="18">
        <v>90</v>
      </c>
    </row>
    <row r="61" spans="1:12" x14ac:dyDescent="0.2">
      <c r="A61" s="8">
        <v>7804920007148</v>
      </c>
      <c r="B61" s="12" t="s">
        <v>808</v>
      </c>
      <c r="C61" s="13">
        <v>10</v>
      </c>
      <c r="D61" s="14" t="s">
        <v>50</v>
      </c>
      <c r="E61" s="1">
        <v>1277.3109243697479</v>
      </c>
      <c r="F61" s="1">
        <f t="shared" si="0"/>
        <v>991.59663865546224</v>
      </c>
      <c r="G61" s="1">
        <v>1180</v>
      </c>
      <c r="H61" s="1">
        <f t="shared" si="1"/>
        <v>907.56302521008411</v>
      </c>
      <c r="I61" s="1">
        <v>1080</v>
      </c>
      <c r="J61" s="18" t="s">
        <v>474</v>
      </c>
      <c r="K61" s="16">
        <v>45273</v>
      </c>
      <c r="L61" s="18">
        <v>240</v>
      </c>
    </row>
    <row r="62" spans="1:12" x14ac:dyDescent="0.2">
      <c r="A62" s="8">
        <v>16000225</v>
      </c>
      <c r="B62" s="12" t="s">
        <v>751</v>
      </c>
      <c r="C62" s="13">
        <v>1</v>
      </c>
      <c r="D62" s="14" t="s">
        <v>50</v>
      </c>
      <c r="E62" s="1">
        <f>F62/1.19</f>
        <v>1412.3296377374481</v>
      </c>
      <c r="F62" s="1">
        <f t="shared" si="0"/>
        <v>1680.6722689075632</v>
      </c>
      <c r="G62" s="1">
        <v>2000</v>
      </c>
      <c r="H62" s="1">
        <f t="shared" si="1"/>
        <v>1680.6722689075632</v>
      </c>
      <c r="I62" s="1">
        <v>2000</v>
      </c>
      <c r="J62" s="18" t="s">
        <v>474</v>
      </c>
      <c r="K62" s="16">
        <v>45273</v>
      </c>
      <c r="L62" s="18">
        <v>169</v>
      </c>
    </row>
    <row r="63" spans="1:12" x14ac:dyDescent="0.2">
      <c r="A63" s="8">
        <v>7804920003195</v>
      </c>
      <c r="B63" s="12" t="s">
        <v>381</v>
      </c>
      <c r="C63" s="13">
        <v>10</v>
      </c>
      <c r="D63" s="14" t="s">
        <v>50</v>
      </c>
      <c r="E63" s="1">
        <v>1277.3109243697479</v>
      </c>
      <c r="F63" s="1">
        <f t="shared" si="0"/>
        <v>991.59663865546224</v>
      </c>
      <c r="G63" s="1">
        <v>1180</v>
      </c>
      <c r="H63" s="1">
        <f t="shared" si="1"/>
        <v>907.56302521008411</v>
      </c>
      <c r="I63" s="1">
        <v>1080</v>
      </c>
      <c r="J63" s="18" t="s">
        <v>474</v>
      </c>
      <c r="K63" s="16">
        <v>45273</v>
      </c>
      <c r="L63" s="18">
        <v>690</v>
      </c>
    </row>
    <row r="64" spans="1:12" x14ac:dyDescent="0.2">
      <c r="A64" s="8">
        <v>7804920007247</v>
      </c>
      <c r="B64" s="12" t="s">
        <v>809</v>
      </c>
      <c r="C64" s="13">
        <v>10</v>
      </c>
      <c r="D64" s="14" t="s">
        <v>50</v>
      </c>
      <c r="E64" s="1">
        <v>924.36974789915973</v>
      </c>
      <c r="F64" s="1">
        <f t="shared" si="0"/>
        <v>915.96638655462186</v>
      </c>
      <c r="G64" s="1">
        <v>1090</v>
      </c>
      <c r="H64" s="1">
        <f t="shared" si="1"/>
        <v>831.93277310924373</v>
      </c>
      <c r="I64" s="1">
        <v>990</v>
      </c>
      <c r="J64" s="18" t="s">
        <v>474</v>
      </c>
      <c r="K64" s="16">
        <v>45273</v>
      </c>
      <c r="L64" s="18">
        <v>800</v>
      </c>
    </row>
    <row r="65" spans="1:12" x14ac:dyDescent="0.2">
      <c r="A65" s="8">
        <v>7804920002587</v>
      </c>
      <c r="B65" s="12" t="s">
        <v>382</v>
      </c>
      <c r="C65" s="13">
        <v>10</v>
      </c>
      <c r="D65" s="14" t="s">
        <v>50</v>
      </c>
      <c r="E65" s="1">
        <v>1277.3109243697479</v>
      </c>
      <c r="F65" s="1">
        <f t="shared" si="0"/>
        <v>991.59663865546224</v>
      </c>
      <c r="G65" s="1">
        <v>1180</v>
      </c>
      <c r="H65" s="1">
        <f t="shared" si="1"/>
        <v>907.56302521008411</v>
      </c>
      <c r="I65" s="1">
        <v>1080</v>
      </c>
      <c r="J65" s="18" t="s">
        <v>474</v>
      </c>
      <c r="K65" s="16">
        <v>45273</v>
      </c>
      <c r="L65" s="18">
        <v>1710</v>
      </c>
    </row>
    <row r="66" spans="1:12" x14ac:dyDescent="0.2">
      <c r="A66" s="8">
        <v>7804920007681</v>
      </c>
      <c r="B66" s="12" t="s">
        <v>810</v>
      </c>
      <c r="C66" s="13">
        <v>10</v>
      </c>
      <c r="D66" s="14" t="s">
        <v>50</v>
      </c>
      <c r="E66" s="1">
        <v>924.36974789915973</v>
      </c>
      <c r="F66" s="1">
        <f t="shared" si="0"/>
        <v>915.96638655462186</v>
      </c>
      <c r="G66" s="1">
        <v>1090</v>
      </c>
      <c r="H66" s="1">
        <f t="shared" si="1"/>
        <v>831.93277310924373</v>
      </c>
      <c r="I66" s="1">
        <v>990</v>
      </c>
      <c r="J66" s="18" t="s">
        <v>474</v>
      </c>
      <c r="K66" s="16">
        <v>45273</v>
      </c>
      <c r="L66" s="18">
        <v>120</v>
      </c>
    </row>
    <row r="67" spans="1:12" x14ac:dyDescent="0.2">
      <c r="A67" s="8">
        <v>7804920007704</v>
      </c>
      <c r="B67" s="12" t="s">
        <v>811</v>
      </c>
      <c r="C67" s="13">
        <v>10</v>
      </c>
      <c r="D67" s="14" t="s">
        <v>50</v>
      </c>
      <c r="E67" s="1">
        <v>924.36974789915973</v>
      </c>
      <c r="F67" s="1">
        <f t="shared" ref="F67:F130" si="2">G67/1.19</f>
        <v>915.96638655462186</v>
      </c>
      <c r="G67" s="1">
        <v>1090</v>
      </c>
      <c r="H67" s="1">
        <f t="shared" ref="H67:H130" si="3">I67/1.19</f>
        <v>831.93277310924373</v>
      </c>
      <c r="I67" s="1">
        <v>990</v>
      </c>
      <c r="J67" s="18" t="s">
        <v>474</v>
      </c>
      <c r="K67" s="16">
        <v>45273</v>
      </c>
      <c r="L67" s="18">
        <v>120</v>
      </c>
    </row>
    <row r="68" spans="1:12" x14ac:dyDescent="0.2">
      <c r="A68" s="8">
        <v>7804920007179</v>
      </c>
      <c r="B68" s="12" t="s">
        <v>812</v>
      </c>
      <c r="C68" s="13">
        <v>8</v>
      </c>
      <c r="D68" s="14" t="s">
        <v>50</v>
      </c>
      <c r="E68" s="1">
        <f>F68/1.19</f>
        <v>699.10317068003678</v>
      </c>
      <c r="F68" s="1">
        <f t="shared" si="2"/>
        <v>831.93277310924373</v>
      </c>
      <c r="G68" s="1">
        <v>990</v>
      </c>
      <c r="H68" s="1">
        <f t="shared" si="3"/>
        <v>831.93277310924373</v>
      </c>
      <c r="I68" s="1">
        <v>990</v>
      </c>
      <c r="J68" s="18" t="s">
        <v>474</v>
      </c>
      <c r="K68" s="16">
        <v>45273</v>
      </c>
      <c r="L68" s="18">
        <v>32</v>
      </c>
    </row>
    <row r="69" spans="1:12" x14ac:dyDescent="0.2">
      <c r="A69" s="8">
        <v>7804920006967</v>
      </c>
      <c r="B69" s="12" t="s">
        <v>376</v>
      </c>
      <c r="C69" s="13">
        <v>12</v>
      </c>
      <c r="D69" s="14" t="s">
        <v>50</v>
      </c>
      <c r="E69" s="1">
        <f t="shared" ref="E69:E73" si="4">F69/1.19</f>
        <v>1052.1855801143988</v>
      </c>
      <c r="F69" s="1">
        <f t="shared" si="2"/>
        <v>1252.1008403361345</v>
      </c>
      <c r="G69" s="1">
        <v>1490</v>
      </c>
      <c r="H69" s="1">
        <f t="shared" si="3"/>
        <v>1168.0672268907563</v>
      </c>
      <c r="I69" s="1">
        <v>1390</v>
      </c>
      <c r="J69" s="18" t="s">
        <v>474</v>
      </c>
      <c r="K69" s="16">
        <v>45273</v>
      </c>
      <c r="L69" s="18">
        <v>828</v>
      </c>
    </row>
    <row r="70" spans="1:12" x14ac:dyDescent="0.2">
      <c r="A70" s="8">
        <v>7804920002747</v>
      </c>
      <c r="B70" s="15" t="s">
        <v>507</v>
      </c>
      <c r="C70" s="8">
        <v>10</v>
      </c>
      <c r="D70" s="14" t="s">
        <v>50</v>
      </c>
      <c r="E70" s="1">
        <f t="shared" si="4"/>
        <v>953.32250547277738</v>
      </c>
      <c r="F70" s="1">
        <f t="shared" si="2"/>
        <v>1134.453781512605</v>
      </c>
      <c r="G70" s="1">
        <v>1350</v>
      </c>
      <c r="H70" s="1">
        <f t="shared" si="3"/>
        <v>1050.420168067227</v>
      </c>
      <c r="I70" s="1">
        <v>1250</v>
      </c>
      <c r="J70" s="18" t="s">
        <v>474</v>
      </c>
      <c r="K70" s="16">
        <v>45273</v>
      </c>
      <c r="L70" s="18">
        <v>320</v>
      </c>
    </row>
    <row r="71" spans="1:12" x14ac:dyDescent="0.2">
      <c r="A71" s="8">
        <v>7804920007612</v>
      </c>
      <c r="B71" s="15" t="s">
        <v>508</v>
      </c>
      <c r="C71" s="8">
        <v>12</v>
      </c>
      <c r="D71" s="8" t="s">
        <v>50</v>
      </c>
      <c r="E71" s="1">
        <f t="shared" si="4"/>
        <v>953.32250547277738</v>
      </c>
      <c r="F71" s="1">
        <f t="shared" si="2"/>
        <v>1134.453781512605</v>
      </c>
      <c r="G71" s="1">
        <v>1350</v>
      </c>
      <c r="H71" s="1">
        <f t="shared" si="3"/>
        <v>1050.420168067227</v>
      </c>
      <c r="I71" s="1">
        <v>1250</v>
      </c>
      <c r="J71" s="18" t="s">
        <v>474</v>
      </c>
      <c r="K71" s="16">
        <v>45273</v>
      </c>
      <c r="L71" s="18">
        <v>225</v>
      </c>
    </row>
    <row r="72" spans="1:12" x14ac:dyDescent="0.2">
      <c r="A72" s="22">
        <v>7804920007285</v>
      </c>
      <c r="B72" s="12" t="s">
        <v>587</v>
      </c>
      <c r="C72" s="13">
        <v>6</v>
      </c>
      <c r="D72" s="14" t="s">
        <v>50</v>
      </c>
      <c r="E72" s="2">
        <f t="shared" si="4"/>
        <v>1546.5009533225057</v>
      </c>
      <c r="F72" s="1">
        <f t="shared" si="2"/>
        <v>1840.3361344537816</v>
      </c>
      <c r="G72" s="2">
        <v>2190</v>
      </c>
      <c r="H72" s="1">
        <f t="shared" si="3"/>
        <v>1756.3025210084033</v>
      </c>
      <c r="I72" s="2">
        <v>2090</v>
      </c>
      <c r="J72" s="18" t="s">
        <v>474</v>
      </c>
      <c r="K72" s="16">
        <v>45273</v>
      </c>
      <c r="L72" s="18">
        <v>66</v>
      </c>
    </row>
    <row r="73" spans="1:12" x14ac:dyDescent="0.2">
      <c r="A73" s="22">
        <v>7804920007278</v>
      </c>
      <c r="B73" s="12" t="s">
        <v>588</v>
      </c>
      <c r="C73" s="13">
        <v>6</v>
      </c>
      <c r="D73" s="14" t="s">
        <v>50</v>
      </c>
      <c r="E73" s="2">
        <f t="shared" si="4"/>
        <v>1546.5009533225057</v>
      </c>
      <c r="F73" s="1">
        <f t="shared" si="2"/>
        <v>1840.3361344537816</v>
      </c>
      <c r="G73" s="2">
        <v>2190</v>
      </c>
      <c r="H73" s="1">
        <f t="shared" si="3"/>
        <v>1756.3025210084033</v>
      </c>
      <c r="I73" s="2">
        <v>2090</v>
      </c>
      <c r="J73" s="18" t="s">
        <v>474</v>
      </c>
      <c r="K73" s="16">
        <v>45273</v>
      </c>
      <c r="L73" s="18">
        <v>72</v>
      </c>
    </row>
    <row r="74" spans="1:12" x14ac:dyDescent="0.2">
      <c r="A74" s="9">
        <v>7804920007520</v>
      </c>
      <c r="B74" s="12" t="s">
        <v>368</v>
      </c>
      <c r="C74" s="13">
        <v>12</v>
      </c>
      <c r="D74" s="8" t="s">
        <v>50</v>
      </c>
      <c r="E74" s="1">
        <f t="shared" ref="E74:E78" si="5">F74/1.19</f>
        <v>953.32250547277738</v>
      </c>
      <c r="F74" s="1">
        <f t="shared" si="2"/>
        <v>1134.453781512605</v>
      </c>
      <c r="G74" s="1">
        <v>1350</v>
      </c>
      <c r="H74" s="1">
        <f t="shared" si="3"/>
        <v>1050.420168067227</v>
      </c>
      <c r="I74" s="1">
        <v>1250</v>
      </c>
      <c r="J74" s="18" t="s">
        <v>474</v>
      </c>
      <c r="K74" s="16">
        <v>45273</v>
      </c>
      <c r="L74" s="18">
        <v>183</v>
      </c>
    </row>
    <row r="75" spans="1:12" x14ac:dyDescent="0.2">
      <c r="A75" s="8">
        <v>7804920350831</v>
      </c>
      <c r="B75" s="15" t="s">
        <v>364</v>
      </c>
      <c r="C75" s="8">
        <v>10</v>
      </c>
      <c r="D75" s="8" t="s">
        <v>50</v>
      </c>
      <c r="E75" s="1">
        <f t="shared" si="5"/>
        <v>953.32250547277738</v>
      </c>
      <c r="F75" s="1">
        <f t="shared" si="2"/>
        <v>1134.453781512605</v>
      </c>
      <c r="G75" s="1">
        <v>1350</v>
      </c>
      <c r="H75" s="1">
        <f t="shared" si="3"/>
        <v>1050.420168067227</v>
      </c>
      <c r="I75" s="1">
        <v>1250</v>
      </c>
      <c r="J75" s="18" t="s">
        <v>474</v>
      </c>
      <c r="K75" s="16">
        <v>45273</v>
      </c>
      <c r="L75" s="18">
        <v>11</v>
      </c>
    </row>
    <row r="76" spans="1:12" x14ac:dyDescent="0.2">
      <c r="A76" s="8">
        <v>7804920007711</v>
      </c>
      <c r="B76" s="15" t="s">
        <v>365</v>
      </c>
      <c r="C76" s="8">
        <v>12</v>
      </c>
      <c r="D76" s="8" t="s">
        <v>50</v>
      </c>
      <c r="E76" s="1">
        <f t="shared" si="5"/>
        <v>953.32250547277738</v>
      </c>
      <c r="F76" s="1">
        <f t="shared" si="2"/>
        <v>1134.453781512605</v>
      </c>
      <c r="G76" s="1">
        <v>1350</v>
      </c>
      <c r="H76" s="1">
        <f t="shared" si="3"/>
        <v>1050.420168067227</v>
      </c>
      <c r="I76" s="1">
        <v>1250</v>
      </c>
      <c r="J76" s="18" t="s">
        <v>474</v>
      </c>
      <c r="K76" s="16">
        <v>45273</v>
      </c>
      <c r="L76" s="18">
        <v>330</v>
      </c>
    </row>
    <row r="77" spans="1:12" x14ac:dyDescent="0.2">
      <c r="A77" s="9">
        <v>7804920350862</v>
      </c>
      <c r="B77" s="12" t="s">
        <v>475</v>
      </c>
      <c r="C77" s="13">
        <v>12</v>
      </c>
      <c r="D77" s="14" t="s">
        <v>50</v>
      </c>
      <c r="E77" s="1">
        <f t="shared" si="5"/>
        <v>953.32250547277738</v>
      </c>
      <c r="F77" s="1">
        <f t="shared" si="2"/>
        <v>1134.453781512605</v>
      </c>
      <c r="G77" s="1">
        <v>1350</v>
      </c>
      <c r="H77" s="1">
        <f t="shared" si="3"/>
        <v>1050.420168067227</v>
      </c>
      <c r="I77" s="1">
        <v>1250</v>
      </c>
      <c r="J77" s="18" t="s">
        <v>474</v>
      </c>
      <c r="K77" s="16">
        <v>45273</v>
      </c>
      <c r="L77" s="18">
        <v>132</v>
      </c>
    </row>
    <row r="78" spans="1:12" x14ac:dyDescent="0.2">
      <c r="A78" s="8">
        <v>7804920350664</v>
      </c>
      <c r="B78" s="12" t="s">
        <v>369</v>
      </c>
      <c r="C78" s="13">
        <v>12</v>
      </c>
      <c r="D78" s="14" t="s">
        <v>50</v>
      </c>
      <c r="E78" s="1">
        <f t="shared" si="5"/>
        <v>706.16481886872407</v>
      </c>
      <c r="F78" s="1">
        <f t="shared" si="2"/>
        <v>840.3361344537816</v>
      </c>
      <c r="G78" s="1">
        <v>1000</v>
      </c>
      <c r="H78" s="1">
        <f t="shared" si="3"/>
        <v>840.3361344537816</v>
      </c>
      <c r="I78" s="1">
        <v>1000</v>
      </c>
      <c r="J78" s="18" t="s">
        <v>474</v>
      </c>
      <c r="K78" s="16">
        <v>45273</v>
      </c>
      <c r="L78" s="18">
        <v>24</v>
      </c>
    </row>
    <row r="79" spans="1:12" x14ac:dyDescent="0.2">
      <c r="A79" s="8">
        <v>7804920006257</v>
      </c>
      <c r="B79" s="12" t="s">
        <v>367</v>
      </c>
      <c r="C79" s="13">
        <v>12</v>
      </c>
      <c r="D79" s="14" t="s">
        <v>50</v>
      </c>
      <c r="E79" s="1">
        <f t="shared" ref="E79:E82" si="6">F79/1.19</f>
        <v>953.32250547277738</v>
      </c>
      <c r="F79" s="1">
        <f t="shared" si="2"/>
        <v>1134.453781512605</v>
      </c>
      <c r="G79" s="1">
        <v>1350</v>
      </c>
      <c r="H79" s="1">
        <f t="shared" si="3"/>
        <v>1050.420168067227</v>
      </c>
      <c r="I79" s="1">
        <v>1250</v>
      </c>
      <c r="J79" s="18" t="s">
        <v>474</v>
      </c>
      <c r="K79" s="16">
        <v>45273</v>
      </c>
      <c r="L79" s="18">
        <v>283</v>
      </c>
    </row>
    <row r="80" spans="1:12" x14ac:dyDescent="0.2">
      <c r="A80" s="8">
        <v>7804920007728</v>
      </c>
      <c r="B80" s="15" t="s">
        <v>366</v>
      </c>
      <c r="C80" s="8">
        <v>12</v>
      </c>
      <c r="D80" s="14" t="s">
        <v>50</v>
      </c>
      <c r="E80" s="1">
        <f t="shared" si="6"/>
        <v>953.32250547277738</v>
      </c>
      <c r="F80" s="1">
        <f t="shared" si="2"/>
        <v>1134.453781512605</v>
      </c>
      <c r="G80" s="1">
        <v>1350</v>
      </c>
      <c r="H80" s="1">
        <f t="shared" si="3"/>
        <v>1050.420168067227</v>
      </c>
      <c r="I80" s="1">
        <v>1250</v>
      </c>
      <c r="J80" s="18" t="s">
        <v>474</v>
      </c>
      <c r="K80" s="16">
        <v>45273</v>
      </c>
      <c r="L80" s="18">
        <v>672</v>
      </c>
    </row>
    <row r="81" spans="1:12" x14ac:dyDescent="0.2">
      <c r="A81" s="8">
        <v>16002874</v>
      </c>
      <c r="B81" s="12" t="s">
        <v>749</v>
      </c>
      <c r="C81" s="13">
        <v>1</v>
      </c>
      <c r="D81" s="14" t="s">
        <v>50</v>
      </c>
      <c r="E81" s="1">
        <f t="shared" si="6"/>
        <v>1412.3296377374481</v>
      </c>
      <c r="F81" s="1">
        <f t="shared" si="2"/>
        <v>1680.6722689075632</v>
      </c>
      <c r="G81" s="1">
        <v>2000</v>
      </c>
      <c r="H81" s="1">
        <f t="shared" si="3"/>
        <v>1680.6722689075632</v>
      </c>
      <c r="I81" s="1">
        <v>2000</v>
      </c>
      <c r="J81" s="18" t="s">
        <v>474</v>
      </c>
      <c r="K81" s="16">
        <v>45273</v>
      </c>
      <c r="L81" s="18">
        <v>158</v>
      </c>
    </row>
    <row r="82" spans="1:12" x14ac:dyDescent="0.2">
      <c r="A82" s="8">
        <v>16002872</v>
      </c>
      <c r="B82" s="12" t="s">
        <v>752</v>
      </c>
      <c r="C82" s="13">
        <v>1</v>
      </c>
      <c r="D82" s="14" t="s">
        <v>50</v>
      </c>
      <c r="E82" s="1">
        <f t="shared" si="6"/>
        <v>1412.3296377374481</v>
      </c>
      <c r="F82" s="1">
        <f t="shared" si="2"/>
        <v>1680.6722689075632</v>
      </c>
      <c r="G82" s="1">
        <v>2000</v>
      </c>
      <c r="H82" s="1">
        <f t="shared" si="3"/>
        <v>1680.6722689075632</v>
      </c>
      <c r="I82" s="1">
        <v>2000</v>
      </c>
      <c r="J82" s="18" t="s">
        <v>474</v>
      </c>
      <c r="K82" s="16">
        <v>45273</v>
      </c>
      <c r="L82" s="18">
        <v>28</v>
      </c>
    </row>
    <row r="83" spans="1:12" x14ac:dyDescent="0.2">
      <c r="A83" s="8">
        <v>7804920350855</v>
      </c>
      <c r="B83" s="15" t="s">
        <v>473</v>
      </c>
      <c r="C83" s="8">
        <v>12</v>
      </c>
      <c r="D83" s="8" t="s">
        <v>50</v>
      </c>
      <c r="E83" s="1">
        <f t="shared" ref="E83:E89" si="7">F83/1.19</f>
        <v>953.32250547277738</v>
      </c>
      <c r="F83" s="1">
        <f t="shared" si="2"/>
        <v>1134.453781512605</v>
      </c>
      <c r="G83" s="1">
        <v>1350</v>
      </c>
      <c r="H83" s="1">
        <f t="shared" si="3"/>
        <v>1050.420168067227</v>
      </c>
      <c r="I83" s="1">
        <v>1250</v>
      </c>
      <c r="J83" s="18" t="s">
        <v>474</v>
      </c>
      <c r="K83" s="16">
        <v>45273</v>
      </c>
      <c r="L83" s="18">
        <v>132</v>
      </c>
    </row>
    <row r="84" spans="1:12" x14ac:dyDescent="0.2">
      <c r="A84" s="8">
        <v>7804920002761</v>
      </c>
      <c r="B84" s="15" t="s">
        <v>476</v>
      </c>
      <c r="C84" s="8">
        <v>12</v>
      </c>
      <c r="D84" s="8" t="s">
        <v>50</v>
      </c>
      <c r="E84" s="1">
        <f t="shared" si="7"/>
        <v>953.32250547277738</v>
      </c>
      <c r="F84" s="1">
        <f t="shared" si="2"/>
        <v>1134.453781512605</v>
      </c>
      <c r="G84" s="1">
        <v>1350</v>
      </c>
      <c r="H84" s="1">
        <f t="shared" si="3"/>
        <v>1050.420168067227</v>
      </c>
      <c r="I84" s="1">
        <v>1250</v>
      </c>
      <c r="J84" s="18" t="s">
        <v>474</v>
      </c>
      <c r="K84" s="16">
        <v>45273</v>
      </c>
      <c r="L84" s="18">
        <v>37</v>
      </c>
    </row>
    <row r="85" spans="1:12" x14ac:dyDescent="0.2">
      <c r="A85" s="8">
        <v>7804920005588</v>
      </c>
      <c r="B85" s="15" t="s">
        <v>371</v>
      </c>
      <c r="C85" s="8">
        <v>12</v>
      </c>
      <c r="D85" s="8" t="s">
        <v>50</v>
      </c>
      <c r="E85" s="1">
        <f t="shared" si="7"/>
        <v>918.01426452934129</v>
      </c>
      <c r="F85" s="1">
        <f t="shared" si="2"/>
        <v>1092.4369747899161</v>
      </c>
      <c r="G85" s="1">
        <v>1300</v>
      </c>
      <c r="H85" s="1">
        <f t="shared" si="3"/>
        <v>1092.4369747899161</v>
      </c>
      <c r="I85" s="8">
        <v>1300</v>
      </c>
      <c r="J85" s="18" t="s">
        <v>474</v>
      </c>
      <c r="K85" s="16">
        <v>45273</v>
      </c>
      <c r="L85" s="18">
        <v>130</v>
      </c>
    </row>
    <row r="86" spans="1:12" x14ac:dyDescent="0.2">
      <c r="A86" s="8">
        <v>7804920005731</v>
      </c>
      <c r="B86" s="15" t="s">
        <v>373</v>
      </c>
      <c r="C86" s="8">
        <v>12</v>
      </c>
      <c r="D86" s="8" t="s">
        <v>50</v>
      </c>
      <c r="E86" s="1">
        <f t="shared" si="7"/>
        <v>918.01426452934129</v>
      </c>
      <c r="F86" s="1">
        <f t="shared" si="2"/>
        <v>1092.4369747899161</v>
      </c>
      <c r="G86" s="1">
        <v>1300</v>
      </c>
      <c r="H86" s="1">
        <f t="shared" si="3"/>
        <v>1092.4369747899161</v>
      </c>
      <c r="I86" s="8">
        <v>1300</v>
      </c>
      <c r="J86" s="18" t="s">
        <v>474</v>
      </c>
      <c r="K86" s="16">
        <v>45273</v>
      </c>
      <c r="L86" s="18">
        <v>33</v>
      </c>
    </row>
    <row r="87" spans="1:12" x14ac:dyDescent="0.2">
      <c r="A87" s="8">
        <v>7804920005946</v>
      </c>
      <c r="B87" s="12" t="s">
        <v>375</v>
      </c>
      <c r="C87" s="13">
        <v>12</v>
      </c>
      <c r="D87" s="14" t="s">
        <v>50</v>
      </c>
      <c r="E87" s="1">
        <f t="shared" si="7"/>
        <v>776.78130075559648</v>
      </c>
      <c r="F87" s="1">
        <f t="shared" si="2"/>
        <v>924.36974789915973</v>
      </c>
      <c r="G87" s="1">
        <v>1100</v>
      </c>
      <c r="H87" s="1">
        <f t="shared" si="3"/>
        <v>924.36974789915973</v>
      </c>
      <c r="I87" s="1">
        <v>1100</v>
      </c>
      <c r="J87" s="18" t="s">
        <v>474</v>
      </c>
      <c r="K87" s="16">
        <v>45273</v>
      </c>
      <c r="L87" s="18">
        <v>216</v>
      </c>
    </row>
    <row r="88" spans="1:12" x14ac:dyDescent="0.2">
      <c r="A88" s="8">
        <v>7804920007513</v>
      </c>
      <c r="B88" s="12" t="s">
        <v>794</v>
      </c>
      <c r="C88" s="8">
        <v>12</v>
      </c>
      <c r="D88" s="14" t="s">
        <v>50</v>
      </c>
      <c r="E88" s="1">
        <f t="shared" si="7"/>
        <v>953.32250547277738</v>
      </c>
      <c r="F88" s="1">
        <f t="shared" si="2"/>
        <v>1134.453781512605</v>
      </c>
      <c r="G88" s="1">
        <v>1350</v>
      </c>
      <c r="H88" s="1">
        <f t="shared" si="3"/>
        <v>1050.420168067227</v>
      </c>
      <c r="I88" s="1">
        <v>1250</v>
      </c>
      <c r="J88" s="18" t="s">
        <v>474</v>
      </c>
      <c r="K88" s="16">
        <v>45273</v>
      </c>
      <c r="L88" s="18">
        <v>192</v>
      </c>
    </row>
    <row r="89" spans="1:12" x14ac:dyDescent="0.2">
      <c r="A89" s="8">
        <v>7804920005939</v>
      </c>
      <c r="B89" s="12" t="s">
        <v>374</v>
      </c>
      <c r="C89" s="13">
        <v>12</v>
      </c>
      <c r="D89" s="14" t="s">
        <v>50</v>
      </c>
      <c r="E89" s="1">
        <f t="shared" si="7"/>
        <v>776.78130075559648</v>
      </c>
      <c r="F89" s="1">
        <f t="shared" si="2"/>
        <v>924.36974789915973</v>
      </c>
      <c r="G89" s="1">
        <v>1100</v>
      </c>
      <c r="H89" s="1">
        <f t="shared" si="3"/>
        <v>924.36974789915973</v>
      </c>
      <c r="I89" s="1">
        <v>1100</v>
      </c>
      <c r="J89" s="18" t="s">
        <v>474</v>
      </c>
      <c r="K89" s="16">
        <v>45273</v>
      </c>
      <c r="L89" s="18">
        <v>36</v>
      </c>
    </row>
    <row r="90" spans="1:12" x14ac:dyDescent="0.2">
      <c r="A90" s="8">
        <v>7804920005595</v>
      </c>
      <c r="B90" s="15" t="s">
        <v>372</v>
      </c>
      <c r="C90" s="8">
        <v>12</v>
      </c>
      <c r="D90" s="8" t="s">
        <v>50</v>
      </c>
      <c r="E90" s="1">
        <f t="shared" ref="E90:E91" si="8">F90/1.19</f>
        <v>918.01426452934129</v>
      </c>
      <c r="F90" s="1">
        <f t="shared" si="2"/>
        <v>1092.4369747899161</v>
      </c>
      <c r="G90" s="1">
        <v>1300</v>
      </c>
      <c r="H90" s="1">
        <f t="shared" si="3"/>
        <v>1092.4369747899161</v>
      </c>
      <c r="I90" s="8">
        <v>1300</v>
      </c>
      <c r="J90" s="18" t="s">
        <v>474</v>
      </c>
      <c r="K90" s="16">
        <v>45273</v>
      </c>
      <c r="L90" s="18">
        <v>388</v>
      </c>
    </row>
    <row r="91" spans="1:12" x14ac:dyDescent="0.2">
      <c r="A91" s="8">
        <v>7804920005809</v>
      </c>
      <c r="B91" s="12" t="s">
        <v>370</v>
      </c>
      <c r="C91" s="13">
        <v>12</v>
      </c>
      <c r="D91" s="14" t="s">
        <v>50</v>
      </c>
      <c r="E91" s="1">
        <f t="shared" si="8"/>
        <v>776.78130075559648</v>
      </c>
      <c r="F91" s="1">
        <f t="shared" si="2"/>
        <v>924.36974789915973</v>
      </c>
      <c r="G91" s="1">
        <v>1100</v>
      </c>
      <c r="H91" s="1">
        <f t="shared" si="3"/>
        <v>924.36974789915973</v>
      </c>
      <c r="I91" s="1">
        <v>1100</v>
      </c>
      <c r="J91" s="18" t="s">
        <v>474</v>
      </c>
      <c r="K91" s="16">
        <v>45273</v>
      </c>
      <c r="L91" s="18">
        <v>612</v>
      </c>
    </row>
    <row r="92" spans="1:12" x14ac:dyDescent="0.2">
      <c r="A92" s="8">
        <v>7804920005403</v>
      </c>
      <c r="B92" s="12" t="s">
        <v>813</v>
      </c>
      <c r="C92" s="13">
        <v>12</v>
      </c>
      <c r="D92" s="14" t="s">
        <v>50</v>
      </c>
      <c r="E92" s="1">
        <v>700</v>
      </c>
      <c r="F92" s="1">
        <f t="shared" si="2"/>
        <v>915.96638655462186</v>
      </c>
      <c r="G92" s="1">
        <v>1090</v>
      </c>
      <c r="H92" s="1">
        <f t="shared" si="3"/>
        <v>831.93277310924373</v>
      </c>
      <c r="I92" s="1">
        <v>990</v>
      </c>
      <c r="J92" s="18" t="s">
        <v>474</v>
      </c>
      <c r="K92" s="16">
        <v>45273</v>
      </c>
      <c r="L92" s="18">
        <v>60</v>
      </c>
    </row>
    <row r="93" spans="1:12" x14ac:dyDescent="0.2">
      <c r="A93" s="22">
        <v>7804920007216</v>
      </c>
      <c r="B93" s="12" t="s">
        <v>795</v>
      </c>
      <c r="C93" s="13">
        <v>10</v>
      </c>
      <c r="D93" s="14" t="s">
        <v>50</v>
      </c>
      <c r="E93" s="2">
        <v>700</v>
      </c>
      <c r="F93" s="1">
        <f t="shared" si="2"/>
        <v>991.59663865546224</v>
      </c>
      <c r="G93" s="2">
        <v>1180</v>
      </c>
      <c r="H93" s="1">
        <f t="shared" si="3"/>
        <v>907.56302521008411</v>
      </c>
      <c r="I93" s="2">
        <v>1080</v>
      </c>
      <c r="J93" s="18" t="s">
        <v>474</v>
      </c>
      <c r="K93" s="16">
        <v>45273</v>
      </c>
      <c r="L93" s="18">
        <v>30</v>
      </c>
    </row>
    <row r="94" spans="1:12" x14ac:dyDescent="0.2">
      <c r="A94" s="8">
        <v>7804920007759</v>
      </c>
      <c r="B94" s="15" t="s">
        <v>481</v>
      </c>
      <c r="C94" s="8">
        <v>12</v>
      </c>
      <c r="D94" s="14" t="s">
        <v>50</v>
      </c>
      <c r="E94" s="1">
        <v>800</v>
      </c>
      <c r="F94" s="1">
        <f t="shared" si="2"/>
        <v>1134.453781512605</v>
      </c>
      <c r="G94" s="1">
        <v>1350</v>
      </c>
      <c r="H94" s="1">
        <f t="shared" si="3"/>
        <v>1050.420168067227</v>
      </c>
      <c r="I94" s="1">
        <v>1250</v>
      </c>
      <c r="J94" s="18" t="s">
        <v>474</v>
      </c>
      <c r="K94" s="16">
        <v>45273</v>
      </c>
      <c r="L94" s="18">
        <v>67</v>
      </c>
    </row>
    <row r="95" spans="1:12" x14ac:dyDescent="0.2">
      <c r="A95" s="8">
        <v>7804920018779</v>
      </c>
      <c r="B95" s="15" t="s">
        <v>479</v>
      </c>
      <c r="C95" s="8">
        <v>12</v>
      </c>
      <c r="D95" s="14" t="s">
        <v>50</v>
      </c>
      <c r="E95" s="1">
        <v>800</v>
      </c>
      <c r="F95" s="1">
        <f t="shared" si="2"/>
        <v>1134.453781512605</v>
      </c>
      <c r="G95" s="1">
        <v>1350</v>
      </c>
      <c r="H95" s="1">
        <f t="shared" si="3"/>
        <v>1050.420168067227</v>
      </c>
      <c r="I95" s="1">
        <v>1250</v>
      </c>
      <c r="J95" s="18" t="s">
        <v>474</v>
      </c>
      <c r="K95" s="16">
        <v>45273</v>
      </c>
      <c r="L95" s="18">
        <v>64</v>
      </c>
    </row>
    <row r="96" spans="1:12" x14ac:dyDescent="0.2">
      <c r="A96" s="22">
        <v>7804920006172</v>
      </c>
      <c r="B96" s="12" t="s">
        <v>589</v>
      </c>
      <c r="C96" s="13">
        <v>12</v>
      </c>
      <c r="D96" s="14" t="s">
        <v>50</v>
      </c>
      <c r="E96" s="2">
        <v>800</v>
      </c>
      <c r="F96" s="1">
        <f t="shared" si="2"/>
        <v>1134.453781512605</v>
      </c>
      <c r="G96" s="1">
        <v>1350</v>
      </c>
      <c r="H96" s="1">
        <f t="shared" si="3"/>
        <v>1050.420168067227</v>
      </c>
      <c r="I96" s="1">
        <v>1250</v>
      </c>
      <c r="J96" s="18" t="s">
        <v>474</v>
      </c>
      <c r="K96" s="16">
        <v>45273</v>
      </c>
      <c r="L96" s="18">
        <v>96</v>
      </c>
    </row>
    <row r="97" spans="1:12" x14ac:dyDescent="0.2">
      <c r="A97" s="22">
        <v>7804920007223</v>
      </c>
      <c r="B97" s="12" t="s">
        <v>796</v>
      </c>
      <c r="C97" s="13">
        <v>10</v>
      </c>
      <c r="D97" s="14" t="s">
        <v>50</v>
      </c>
      <c r="E97" s="2">
        <v>500</v>
      </c>
      <c r="F97" s="1">
        <f t="shared" si="2"/>
        <v>991.59663865546224</v>
      </c>
      <c r="G97" s="2">
        <v>1180</v>
      </c>
      <c r="H97" s="1">
        <f t="shared" si="3"/>
        <v>907.56302521008411</v>
      </c>
      <c r="I97" s="2">
        <v>1080</v>
      </c>
      <c r="J97" s="18" t="s">
        <v>474</v>
      </c>
      <c r="K97" s="16">
        <v>45273</v>
      </c>
      <c r="L97" s="18">
        <v>30</v>
      </c>
    </row>
    <row r="98" spans="1:12" x14ac:dyDescent="0.2">
      <c r="A98" s="22">
        <v>7804920007131</v>
      </c>
      <c r="B98" s="24" t="s">
        <v>797</v>
      </c>
      <c r="C98" s="22">
        <v>10</v>
      </c>
      <c r="D98" s="14" t="s">
        <v>50</v>
      </c>
      <c r="E98" s="2">
        <v>800</v>
      </c>
      <c r="F98" s="1">
        <f t="shared" si="2"/>
        <v>1218.4873949579833</v>
      </c>
      <c r="G98" s="2">
        <v>1450</v>
      </c>
      <c r="H98" s="1">
        <f t="shared" si="3"/>
        <v>1134.453781512605</v>
      </c>
      <c r="I98" s="2">
        <v>1350</v>
      </c>
      <c r="J98" s="18" t="s">
        <v>474</v>
      </c>
      <c r="K98" s="16">
        <v>45273</v>
      </c>
      <c r="L98" s="18">
        <v>60</v>
      </c>
    </row>
    <row r="99" spans="1:12" x14ac:dyDescent="0.2">
      <c r="A99" s="22">
        <v>7804920008695</v>
      </c>
      <c r="B99" s="24" t="s">
        <v>798</v>
      </c>
      <c r="C99" s="22">
        <v>10</v>
      </c>
      <c r="D99" s="14" t="s">
        <v>50</v>
      </c>
      <c r="E99" s="2">
        <v>800</v>
      </c>
      <c r="F99" s="1">
        <f t="shared" si="2"/>
        <v>1218.4873949579833</v>
      </c>
      <c r="G99" s="2">
        <v>1450</v>
      </c>
      <c r="H99" s="1">
        <f t="shared" si="3"/>
        <v>1134.453781512605</v>
      </c>
      <c r="I99" s="2">
        <v>1350</v>
      </c>
      <c r="J99" s="18" t="s">
        <v>474</v>
      </c>
      <c r="K99" s="16">
        <v>45273</v>
      </c>
      <c r="L99" s="18">
        <v>60</v>
      </c>
    </row>
    <row r="100" spans="1:12" x14ac:dyDescent="0.2">
      <c r="A100" s="22">
        <v>7804920003454</v>
      </c>
      <c r="B100" s="12" t="s">
        <v>379</v>
      </c>
      <c r="C100" s="13">
        <v>10</v>
      </c>
      <c r="D100" s="14" t="s">
        <v>50</v>
      </c>
      <c r="E100" s="2">
        <v>800</v>
      </c>
      <c r="F100" s="1">
        <f t="shared" si="2"/>
        <v>1218.4873949579833</v>
      </c>
      <c r="G100" s="2">
        <v>1450</v>
      </c>
      <c r="H100" s="1">
        <f t="shared" si="3"/>
        <v>1134.453781512605</v>
      </c>
      <c r="I100" s="2">
        <v>1350</v>
      </c>
      <c r="J100" s="18" t="s">
        <v>474</v>
      </c>
      <c r="K100" s="16">
        <v>45273</v>
      </c>
      <c r="L100" s="18">
        <v>50</v>
      </c>
    </row>
    <row r="101" spans="1:12" x14ac:dyDescent="0.2">
      <c r="A101" s="22">
        <v>7804920003188</v>
      </c>
      <c r="B101" s="12" t="s">
        <v>377</v>
      </c>
      <c r="C101" s="13">
        <v>10</v>
      </c>
      <c r="D101" s="14" t="s">
        <v>50</v>
      </c>
      <c r="E101" s="2">
        <v>800</v>
      </c>
      <c r="F101" s="1">
        <f t="shared" si="2"/>
        <v>1218.4873949579833</v>
      </c>
      <c r="G101" s="2">
        <v>1450</v>
      </c>
      <c r="H101" s="1">
        <f t="shared" si="3"/>
        <v>1134.453781512605</v>
      </c>
      <c r="I101" s="2">
        <v>1350</v>
      </c>
      <c r="J101" s="18" t="s">
        <v>474</v>
      </c>
      <c r="K101" s="16">
        <v>45273</v>
      </c>
      <c r="L101" s="18">
        <v>73</v>
      </c>
    </row>
    <row r="102" spans="1:12" x14ac:dyDescent="0.2">
      <c r="A102" s="22">
        <v>7804920002686</v>
      </c>
      <c r="B102" s="12" t="s">
        <v>378</v>
      </c>
      <c r="C102" s="13">
        <v>10</v>
      </c>
      <c r="D102" s="14" t="s">
        <v>50</v>
      </c>
      <c r="E102" s="2">
        <v>800</v>
      </c>
      <c r="F102" s="1">
        <f t="shared" si="2"/>
        <v>1218.4873949579833</v>
      </c>
      <c r="G102" s="2">
        <v>1450</v>
      </c>
      <c r="H102" s="1">
        <f t="shared" si="3"/>
        <v>1134.453781512605</v>
      </c>
      <c r="I102" s="2">
        <v>1350</v>
      </c>
      <c r="J102" s="18" t="s">
        <v>474</v>
      </c>
      <c r="K102" s="16">
        <v>45273</v>
      </c>
      <c r="L102" s="18">
        <v>70</v>
      </c>
    </row>
    <row r="103" spans="1:12" x14ac:dyDescent="0.2">
      <c r="A103" s="8">
        <v>7804920003225</v>
      </c>
      <c r="B103" s="15" t="s">
        <v>477</v>
      </c>
      <c r="C103" s="8">
        <v>12</v>
      </c>
      <c r="D103" s="8" t="s">
        <v>50</v>
      </c>
      <c r="E103" s="8">
        <v>800</v>
      </c>
      <c r="F103" s="1">
        <f t="shared" si="2"/>
        <v>1134.453781512605</v>
      </c>
      <c r="G103" s="1">
        <v>1350</v>
      </c>
      <c r="H103" s="1">
        <f t="shared" si="3"/>
        <v>1050.420168067227</v>
      </c>
      <c r="I103" s="1">
        <v>1250</v>
      </c>
      <c r="J103" s="18" t="s">
        <v>474</v>
      </c>
      <c r="K103" s="16">
        <v>45273</v>
      </c>
      <c r="L103" s="18">
        <v>8</v>
      </c>
    </row>
    <row r="104" spans="1:12" x14ac:dyDescent="0.2">
      <c r="A104" s="22">
        <v>7804920007193</v>
      </c>
      <c r="B104" s="24" t="s">
        <v>799</v>
      </c>
      <c r="C104" s="22">
        <v>10</v>
      </c>
      <c r="D104" s="14" t="s">
        <v>50</v>
      </c>
      <c r="E104" s="2">
        <v>500</v>
      </c>
      <c r="F104" s="1">
        <f t="shared" si="2"/>
        <v>991.59663865546224</v>
      </c>
      <c r="G104" s="2">
        <v>1180</v>
      </c>
      <c r="H104" s="1">
        <f t="shared" si="3"/>
        <v>907.56302521008411</v>
      </c>
      <c r="I104" s="2">
        <v>1080</v>
      </c>
      <c r="J104" s="18" t="s">
        <v>474</v>
      </c>
      <c r="K104" s="16">
        <v>45273</v>
      </c>
      <c r="L104" s="18">
        <v>30</v>
      </c>
    </row>
    <row r="105" spans="1:12" x14ac:dyDescent="0.2">
      <c r="A105" s="8">
        <v>7804920008206</v>
      </c>
      <c r="B105" s="15" t="s">
        <v>478</v>
      </c>
      <c r="C105" s="8">
        <v>12</v>
      </c>
      <c r="D105" s="14" t="s">
        <v>50</v>
      </c>
      <c r="E105" s="1">
        <v>800</v>
      </c>
      <c r="F105" s="1">
        <f t="shared" si="2"/>
        <v>1134.453781512605</v>
      </c>
      <c r="G105" s="1">
        <v>1350</v>
      </c>
      <c r="H105" s="1">
        <f t="shared" si="3"/>
        <v>1050.420168067227</v>
      </c>
      <c r="I105" s="1">
        <v>1250</v>
      </c>
      <c r="J105" s="18" t="s">
        <v>474</v>
      </c>
      <c r="K105" s="16">
        <v>45273</v>
      </c>
      <c r="L105" s="18">
        <v>34</v>
      </c>
    </row>
    <row r="106" spans="1:12" x14ac:dyDescent="0.2">
      <c r="A106" s="22">
        <v>7804920005816</v>
      </c>
      <c r="B106" s="12" t="s">
        <v>800</v>
      </c>
      <c r="C106" s="13">
        <v>10</v>
      </c>
      <c r="D106" s="14" t="s">
        <v>50</v>
      </c>
      <c r="E106" s="2">
        <v>800</v>
      </c>
      <c r="F106" s="1">
        <f t="shared" si="2"/>
        <v>1218.4873949579833</v>
      </c>
      <c r="G106" s="2">
        <v>1450</v>
      </c>
      <c r="H106" s="1">
        <f t="shared" si="3"/>
        <v>1134.453781512605</v>
      </c>
      <c r="I106" s="2">
        <v>1350</v>
      </c>
      <c r="J106" s="18" t="s">
        <v>474</v>
      </c>
      <c r="K106" s="16">
        <v>45273</v>
      </c>
      <c r="L106" s="18">
        <v>60</v>
      </c>
    </row>
    <row r="107" spans="1:12" x14ac:dyDescent="0.2">
      <c r="A107" s="9">
        <v>732064794624</v>
      </c>
      <c r="B107" s="19" t="s">
        <v>172</v>
      </c>
      <c r="C107" s="13">
        <v>144</v>
      </c>
      <c r="D107" s="14" t="s">
        <v>50</v>
      </c>
      <c r="E107" s="2">
        <v>430</v>
      </c>
      <c r="F107" s="1">
        <f t="shared" si="2"/>
        <v>647.05882352941182</v>
      </c>
      <c r="G107" s="2">
        <v>770</v>
      </c>
      <c r="H107" s="1">
        <f t="shared" si="3"/>
        <v>588.23529411764707</v>
      </c>
      <c r="I107" s="2">
        <v>700</v>
      </c>
      <c r="J107" s="18" t="s">
        <v>23</v>
      </c>
      <c r="K107" s="16">
        <v>45156</v>
      </c>
      <c r="L107" s="18">
        <v>396</v>
      </c>
    </row>
    <row r="108" spans="1:12" x14ac:dyDescent="0.2">
      <c r="A108" s="8">
        <v>7805040001665</v>
      </c>
      <c r="B108" s="12" t="s">
        <v>148</v>
      </c>
      <c r="C108" s="13">
        <v>12</v>
      </c>
      <c r="D108" s="14" t="s">
        <v>50</v>
      </c>
      <c r="E108" s="1">
        <f>12579/12</f>
        <v>1048.25</v>
      </c>
      <c r="F108" s="1">
        <f t="shared" si="2"/>
        <v>1319.327731092437</v>
      </c>
      <c r="G108" s="1">
        <v>1570</v>
      </c>
      <c r="H108" s="1">
        <f t="shared" si="3"/>
        <v>1235.2941176470588</v>
      </c>
      <c r="I108" s="1">
        <v>1470</v>
      </c>
      <c r="J108" s="18" t="s">
        <v>34</v>
      </c>
      <c r="K108" s="16">
        <v>44789</v>
      </c>
      <c r="L108" s="18">
        <v>144</v>
      </c>
    </row>
    <row r="109" spans="1:12" x14ac:dyDescent="0.2">
      <c r="A109" s="8">
        <v>7805040001658</v>
      </c>
      <c r="B109" s="12" t="s">
        <v>147</v>
      </c>
      <c r="C109" s="13">
        <v>12</v>
      </c>
      <c r="D109" s="14" t="s">
        <v>50</v>
      </c>
      <c r="E109" s="2">
        <f>12579/12</f>
        <v>1048.25</v>
      </c>
      <c r="F109" s="1">
        <f t="shared" si="2"/>
        <v>1319.327731092437</v>
      </c>
      <c r="G109" s="1">
        <v>1570</v>
      </c>
      <c r="H109" s="1">
        <f t="shared" si="3"/>
        <v>1235.2941176470588</v>
      </c>
      <c r="I109" s="1">
        <v>1470</v>
      </c>
      <c r="J109" s="18" t="s">
        <v>34</v>
      </c>
      <c r="K109" s="16">
        <v>44789</v>
      </c>
      <c r="L109" s="18">
        <v>96</v>
      </c>
    </row>
    <row r="110" spans="1:12" x14ac:dyDescent="0.2">
      <c r="A110" s="8">
        <v>7751851122504</v>
      </c>
      <c r="B110" s="12" t="s">
        <v>422</v>
      </c>
      <c r="C110" s="13">
        <v>12</v>
      </c>
      <c r="D110" s="14" t="s">
        <v>50</v>
      </c>
      <c r="E110" s="2">
        <f>36177/48</f>
        <v>753.6875</v>
      </c>
      <c r="F110" s="1">
        <f t="shared" si="2"/>
        <v>949.57983193277312</v>
      </c>
      <c r="G110" s="2">
        <v>1130</v>
      </c>
      <c r="H110" s="1">
        <f t="shared" si="3"/>
        <v>865.54621848739498</v>
      </c>
      <c r="I110" s="2">
        <v>1030</v>
      </c>
      <c r="J110" s="18" t="s">
        <v>19</v>
      </c>
      <c r="K110" s="16">
        <v>45007</v>
      </c>
      <c r="L110" s="18">
        <v>33</v>
      </c>
    </row>
    <row r="111" spans="1:12" x14ac:dyDescent="0.2">
      <c r="A111" s="8">
        <v>7805040111449</v>
      </c>
      <c r="B111" s="12" t="s">
        <v>482</v>
      </c>
      <c r="C111" s="13">
        <v>12</v>
      </c>
      <c r="D111" s="14" t="s">
        <v>50</v>
      </c>
      <c r="E111" s="2">
        <f>36628/144</f>
        <v>254.36111111111111</v>
      </c>
      <c r="F111" s="1">
        <f t="shared" si="2"/>
        <v>310.92436974789916</v>
      </c>
      <c r="G111" s="2">
        <v>370</v>
      </c>
      <c r="H111" s="1">
        <f t="shared" si="3"/>
        <v>277.31092436974791</v>
      </c>
      <c r="I111" s="2">
        <v>330</v>
      </c>
      <c r="J111" s="18" t="s">
        <v>34</v>
      </c>
      <c r="K111" s="16">
        <v>44665</v>
      </c>
      <c r="L111" s="18">
        <v>30</v>
      </c>
    </row>
    <row r="112" spans="1:12" x14ac:dyDescent="0.2">
      <c r="A112" s="8">
        <v>7805040112682</v>
      </c>
      <c r="B112" s="12" t="s">
        <v>146</v>
      </c>
      <c r="C112" s="13">
        <v>48</v>
      </c>
      <c r="D112" s="14" t="s">
        <v>50</v>
      </c>
      <c r="E112" s="2">
        <f>36177/48</f>
        <v>753.6875</v>
      </c>
      <c r="F112" s="1">
        <f t="shared" si="2"/>
        <v>949.57983193277312</v>
      </c>
      <c r="G112" s="2">
        <v>1130</v>
      </c>
      <c r="H112" s="1">
        <f t="shared" si="3"/>
        <v>865.54621848739498</v>
      </c>
      <c r="I112" s="2">
        <v>1030</v>
      </c>
      <c r="J112" s="18" t="s">
        <v>34</v>
      </c>
      <c r="K112" s="16">
        <v>44718</v>
      </c>
      <c r="L112" s="18">
        <v>1107</v>
      </c>
    </row>
    <row r="113" spans="1:12" x14ac:dyDescent="0.2">
      <c r="A113" s="8" t="s">
        <v>759</v>
      </c>
      <c r="B113" s="20" t="s">
        <v>628</v>
      </c>
      <c r="C113" s="13">
        <v>50</v>
      </c>
      <c r="D113" s="14" t="s">
        <v>50</v>
      </c>
      <c r="E113" s="2">
        <v>60</v>
      </c>
      <c r="F113" s="1">
        <f t="shared" si="2"/>
        <v>168.0672268907563</v>
      </c>
      <c r="G113" s="2">
        <v>200</v>
      </c>
      <c r="H113" s="1">
        <f t="shared" si="3"/>
        <v>168.0672268907563</v>
      </c>
      <c r="I113" s="2">
        <v>200</v>
      </c>
      <c r="J113" s="18" t="s">
        <v>21</v>
      </c>
      <c r="K113" s="16">
        <v>45420</v>
      </c>
      <c r="L113" s="18">
        <v>20</v>
      </c>
    </row>
    <row r="114" spans="1:12" x14ac:dyDescent="0.2">
      <c r="A114" s="8" t="s">
        <v>760</v>
      </c>
      <c r="B114" s="20" t="s">
        <v>629</v>
      </c>
      <c r="C114" s="13">
        <v>50</v>
      </c>
      <c r="D114" s="14" t="s">
        <v>50</v>
      </c>
      <c r="E114" s="2">
        <v>100</v>
      </c>
      <c r="F114" s="1">
        <f t="shared" si="2"/>
        <v>252.10084033613447</v>
      </c>
      <c r="G114" s="2">
        <v>300</v>
      </c>
      <c r="H114" s="1">
        <f t="shared" si="3"/>
        <v>252.10084033613447</v>
      </c>
      <c r="I114" s="2">
        <v>300</v>
      </c>
      <c r="J114" s="18" t="s">
        <v>21</v>
      </c>
      <c r="K114" s="16">
        <v>45420</v>
      </c>
      <c r="L114" s="18">
        <v>20</v>
      </c>
    </row>
    <row r="115" spans="1:12" x14ac:dyDescent="0.2">
      <c r="A115" s="8" t="s">
        <v>761</v>
      </c>
      <c r="B115" s="20" t="s">
        <v>630</v>
      </c>
      <c r="C115" s="13">
        <v>50</v>
      </c>
      <c r="D115" s="14" t="s">
        <v>50</v>
      </c>
      <c r="E115" s="2">
        <v>260</v>
      </c>
      <c r="F115" s="1">
        <f t="shared" si="2"/>
        <v>420.1680672268908</v>
      </c>
      <c r="G115" s="2">
        <v>500</v>
      </c>
      <c r="H115" s="1">
        <f t="shared" si="3"/>
        <v>420.1680672268908</v>
      </c>
      <c r="I115" s="2">
        <v>500</v>
      </c>
      <c r="J115" s="18" t="s">
        <v>21</v>
      </c>
      <c r="K115" s="16">
        <v>45420</v>
      </c>
      <c r="L115" s="18">
        <v>30</v>
      </c>
    </row>
    <row r="116" spans="1:12" x14ac:dyDescent="0.2">
      <c r="A116" s="22">
        <v>6902023052230</v>
      </c>
      <c r="B116" s="12" t="s">
        <v>572</v>
      </c>
      <c r="C116" s="13">
        <v>20</v>
      </c>
      <c r="D116" s="14" t="s">
        <v>50</v>
      </c>
      <c r="E116" s="2">
        <f>13630/20</f>
        <v>681.5</v>
      </c>
      <c r="F116" s="1">
        <f t="shared" si="2"/>
        <v>983.19327731092437</v>
      </c>
      <c r="G116" s="2">
        <v>1170</v>
      </c>
      <c r="H116" s="1">
        <f t="shared" si="3"/>
        <v>899.15966386554624</v>
      </c>
      <c r="I116" s="2">
        <v>1070</v>
      </c>
      <c r="J116" s="18" t="s">
        <v>599</v>
      </c>
      <c r="K116" s="16">
        <v>45345</v>
      </c>
      <c r="L116" s="18">
        <v>13</v>
      </c>
    </row>
    <row r="117" spans="1:12" x14ac:dyDescent="0.2">
      <c r="A117" s="8" t="s">
        <v>762</v>
      </c>
      <c r="B117" s="20" t="s">
        <v>631</v>
      </c>
      <c r="C117" s="13">
        <v>50</v>
      </c>
      <c r="D117" s="14" t="s">
        <v>50</v>
      </c>
      <c r="E117" s="2">
        <v>300</v>
      </c>
      <c r="F117" s="1">
        <f t="shared" si="2"/>
        <v>756.30252100840335</v>
      </c>
      <c r="G117" s="2">
        <v>900</v>
      </c>
      <c r="H117" s="1">
        <f t="shared" si="3"/>
        <v>756.30252100840335</v>
      </c>
      <c r="I117" s="2">
        <v>900</v>
      </c>
      <c r="J117" s="18" t="s">
        <v>21</v>
      </c>
      <c r="K117" s="16">
        <v>45420</v>
      </c>
      <c r="L117" s="18">
        <v>20</v>
      </c>
    </row>
    <row r="118" spans="1:12" x14ac:dyDescent="0.2">
      <c r="A118" s="9">
        <v>6902023110220</v>
      </c>
      <c r="B118" s="12" t="s">
        <v>600</v>
      </c>
      <c r="C118" s="13">
        <v>1</v>
      </c>
      <c r="D118" s="14" t="s">
        <v>50</v>
      </c>
      <c r="E118" s="18">
        <v>951</v>
      </c>
      <c r="F118" s="1">
        <f t="shared" si="2"/>
        <v>1369.747899159664</v>
      </c>
      <c r="G118" s="18">
        <v>1630</v>
      </c>
      <c r="H118" s="1">
        <f t="shared" si="3"/>
        <v>1310.9243697478992</v>
      </c>
      <c r="I118" s="18">
        <v>1560</v>
      </c>
      <c r="J118" s="18" t="s">
        <v>599</v>
      </c>
      <c r="K118" s="16">
        <v>45372</v>
      </c>
      <c r="L118" s="18">
        <v>6</v>
      </c>
    </row>
    <row r="119" spans="1:12" x14ac:dyDescent="0.2">
      <c r="A119" s="8">
        <v>7702011023759</v>
      </c>
      <c r="B119" s="12" t="s">
        <v>420</v>
      </c>
      <c r="C119" s="13">
        <v>24</v>
      </c>
      <c r="D119" s="14" t="s">
        <v>50</v>
      </c>
      <c r="E119" s="1">
        <f>(11683/10)/24</f>
        <v>48.679166666666667</v>
      </c>
      <c r="F119" s="1">
        <f t="shared" si="2"/>
        <v>126.05042016806723</v>
      </c>
      <c r="G119" s="1">
        <v>150</v>
      </c>
      <c r="H119" s="1">
        <f t="shared" si="3"/>
        <v>126.05042016806723</v>
      </c>
      <c r="I119" s="1">
        <v>150</v>
      </c>
      <c r="J119" s="18" t="s">
        <v>353</v>
      </c>
      <c r="K119" s="16">
        <v>45000</v>
      </c>
      <c r="L119" s="18">
        <v>20</v>
      </c>
    </row>
    <row r="120" spans="1:12" x14ac:dyDescent="0.2">
      <c r="A120" s="9">
        <v>7802800500826</v>
      </c>
      <c r="B120" s="12" t="s">
        <v>173</v>
      </c>
      <c r="C120" s="13">
        <v>6</v>
      </c>
      <c r="D120" s="14" t="s">
        <v>50</v>
      </c>
      <c r="E120" s="2">
        <v>2879</v>
      </c>
      <c r="F120" s="1">
        <f t="shared" si="2"/>
        <v>3042.0168067226891</v>
      </c>
      <c r="G120" s="2">
        <v>3620</v>
      </c>
      <c r="H120" s="1">
        <f t="shared" si="3"/>
        <v>2949.5798319327732</v>
      </c>
      <c r="I120" s="2">
        <v>3510</v>
      </c>
      <c r="J120" s="18" t="s">
        <v>30</v>
      </c>
      <c r="K120" s="16">
        <v>45302</v>
      </c>
      <c r="L120" s="18">
        <v>6</v>
      </c>
    </row>
    <row r="121" spans="1:12" x14ac:dyDescent="0.2">
      <c r="A121" s="8">
        <v>7802800500819</v>
      </c>
      <c r="B121" s="20" t="s">
        <v>174</v>
      </c>
      <c r="C121" s="13">
        <v>6</v>
      </c>
      <c r="D121" s="14" t="s">
        <v>50</v>
      </c>
      <c r="E121" s="2">
        <v>3746</v>
      </c>
      <c r="F121" s="1">
        <f t="shared" si="2"/>
        <v>3949.5798319327732</v>
      </c>
      <c r="G121" s="2">
        <v>4700</v>
      </c>
      <c r="H121" s="1">
        <f t="shared" si="3"/>
        <v>3831.932773109244</v>
      </c>
      <c r="I121" s="2">
        <v>4560</v>
      </c>
      <c r="J121" s="18" t="s">
        <v>30</v>
      </c>
      <c r="K121" s="16">
        <v>45302</v>
      </c>
      <c r="L121" s="18">
        <v>6</v>
      </c>
    </row>
    <row r="122" spans="1:12" x14ac:dyDescent="0.2">
      <c r="A122" s="8">
        <v>7802800501830</v>
      </c>
      <c r="B122" s="20" t="s">
        <v>465</v>
      </c>
      <c r="C122" s="13">
        <v>6</v>
      </c>
      <c r="D122" s="14" t="s">
        <v>50</v>
      </c>
      <c r="E122" s="2">
        <v>1597</v>
      </c>
      <c r="F122" s="1">
        <f t="shared" si="2"/>
        <v>1781.512605042017</v>
      </c>
      <c r="G122" s="2">
        <v>2120</v>
      </c>
      <c r="H122" s="1">
        <f t="shared" si="3"/>
        <v>1697.4789915966387</v>
      </c>
      <c r="I122" s="2">
        <v>2020</v>
      </c>
      <c r="J122" s="18" t="s">
        <v>30</v>
      </c>
      <c r="K122" s="16">
        <v>45302</v>
      </c>
      <c r="L122" s="18">
        <v>6</v>
      </c>
    </row>
    <row r="123" spans="1:12" x14ac:dyDescent="0.2">
      <c r="A123" s="8">
        <v>7802800401826</v>
      </c>
      <c r="B123" s="20" t="s">
        <v>607</v>
      </c>
      <c r="C123" s="13">
        <v>1</v>
      </c>
      <c r="D123" s="14" t="s">
        <v>50</v>
      </c>
      <c r="E123" s="2">
        <v>5225</v>
      </c>
      <c r="F123" s="1">
        <f t="shared" si="2"/>
        <v>5462.1848739495799</v>
      </c>
      <c r="G123" s="2">
        <v>6500</v>
      </c>
      <c r="H123" s="1">
        <f t="shared" si="3"/>
        <v>5336.134453781513</v>
      </c>
      <c r="I123" s="2">
        <v>6350</v>
      </c>
      <c r="J123" s="18" t="s">
        <v>30</v>
      </c>
      <c r="K123" s="16">
        <v>45492</v>
      </c>
      <c r="L123" s="18">
        <v>2</v>
      </c>
    </row>
    <row r="124" spans="1:12" x14ac:dyDescent="0.2">
      <c r="A124" s="9">
        <v>7802800500635</v>
      </c>
      <c r="B124" s="12" t="s">
        <v>348</v>
      </c>
      <c r="C124" s="13">
        <v>1</v>
      </c>
      <c r="D124" s="14" t="s">
        <v>50</v>
      </c>
      <c r="E124" s="2">
        <v>1408</v>
      </c>
      <c r="F124" s="1">
        <f t="shared" si="2"/>
        <v>1571.4285714285716</v>
      </c>
      <c r="G124" s="2">
        <v>1870</v>
      </c>
      <c r="H124" s="1">
        <f t="shared" si="3"/>
        <v>1521.0084033613446</v>
      </c>
      <c r="I124" s="2">
        <v>1810</v>
      </c>
      <c r="J124" s="18" t="s">
        <v>30</v>
      </c>
      <c r="K124" s="16">
        <v>45441</v>
      </c>
      <c r="L124" s="18">
        <v>6</v>
      </c>
    </row>
    <row r="125" spans="1:12" x14ac:dyDescent="0.2">
      <c r="A125" s="9">
        <v>7802800500628</v>
      </c>
      <c r="B125" s="12" t="s">
        <v>175</v>
      </c>
      <c r="C125" s="13">
        <v>1</v>
      </c>
      <c r="D125" s="14" t="s">
        <v>50</v>
      </c>
      <c r="E125" s="2">
        <v>2699</v>
      </c>
      <c r="F125" s="1">
        <f t="shared" si="2"/>
        <v>3008.4033613445381</v>
      </c>
      <c r="G125" s="2">
        <v>3580</v>
      </c>
      <c r="H125" s="1">
        <f t="shared" si="3"/>
        <v>2907.5630252100841</v>
      </c>
      <c r="I125" s="2">
        <v>3460</v>
      </c>
      <c r="J125" s="18" t="s">
        <v>30</v>
      </c>
      <c r="K125" s="16">
        <v>45441</v>
      </c>
      <c r="L125" s="18">
        <v>6</v>
      </c>
    </row>
    <row r="126" spans="1:12" x14ac:dyDescent="0.2">
      <c r="A126" s="9">
        <v>7802800500611</v>
      </c>
      <c r="B126" s="12" t="s">
        <v>176</v>
      </c>
      <c r="C126" s="13">
        <v>1</v>
      </c>
      <c r="D126" s="14" t="s">
        <v>50</v>
      </c>
      <c r="E126" s="2">
        <v>3704</v>
      </c>
      <c r="F126" s="1">
        <f t="shared" si="2"/>
        <v>4126.0504201680678</v>
      </c>
      <c r="G126" s="2">
        <v>4910</v>
      </c>
      <c r="H126" s="1">
        <f t="shared" si="3"/>
        <v>3991.5966386554624</v>
      </c>
      <c r="I126" s="2">
        <v>4750</v>
      </c>
      <c r="J126" s="18" t="s">
        <v>30</v>
      </c>
      <c r="K126" s="16">
        <v>45441</v>
      </c>
      <c r="L126" s="18">
        <v>6</v>
      </c>
    </row>
    <row r="127" spans="1:12" x14ac:dyDescent="0.2">
      <c r="A127" s="9">
        <v>7802800500437</v>
      </c>
      <c r="B127" s="12" t="s">
        <v>177</v>
      </c>
      <c r="C127" s="13">
        <v>1</v>
      </c>
      <c r="D127" s="14" t="s">
        <v>50</v>
      </c>
      <c r="E127" s="2">
        <v>832</v>
      </c>
      <c r="F127" s="1">
        <f t="shared" si="2"/>
        <v>840.3361344537816</v>
      </c>
      <c r="G127" s="2">
        <v>1000</v>
      </c>
      <c r="H127" s="1">
        <f t="shared" si="3"/>
        <v>798.31932773109247</v>
      </c>
      <c r="I127" s="2">
        <v>950</v>
      </c>
      <c r="J127" s="18" t="s">
        <v>30</v>
      </c>
      <c r="K127" s="16">
        <v>45124</v>
      </c>
      <c r="L127" s="18">
        <v>8</v>
      </c>
    </row>
    <row r="128" spans="1:12" x14ac:dyDescent="0.2">
      <c r="A128" s="9">
        <v>7802800500468</v>
      </c>
      <c r="B128" s="12" t="s">
        <v>178</v>
      </c>
      <c r="C128" s="13">
        <v>12</v>
      </c>
      <c r="D128" s="14" t="s">
        <v>50</v>
      </c>
      <c r="E128" s="2">
        <v>1508</v>
      </c>
      <c r="F128" s="1">
        <f t="shared" si="2"/>
        <v>1680.6722689075632</v>
      </c>
      <c r="G128" s="2">
        <v>2000</v>
      </c>
      <c r="H128" s="1">
        <f t="shared" si="3"/>
        <v>1630.2521008403362</v>
      </c>
      <c r="I128" s="2">
        <v>1940</v>
      </c>
      <c r="J128" s="18" t="s">
        <v>30</v>
      </c>
      <c r="K128" s="16">
        <v>44630</v>
      </c>
      <c r="L128" s="18">
        <v>1</v>
      </c>
    </row>
    <row r="129" spans="1:12" x14ac:dyDescent="0.2">
      <c r="A129" s="9">
        <v>7802800401468</v>
      </c>
      <c r="B129" s="12" t="s">
        <v>606</v>
      </c>
      <c r="C129" s="13">
        <v>1</v>
      </c>
      <c r="D129" s="14" t="s">
        <v>50</v>
      </c>
      <c r="E129" s="2">
        <v>5177</v>
      </c>
      <c r="F129" s="1">
        <f t="shared" si="2"/>
        <v>5453.7815126050418</v>
      </c>
      <c r="G129" s="2">
        <v>6490</v>
      </c>
      <c r="H129" s="1">
        <f t="shared" si="3"/>
        <v>5294.1176470588234</v>
      </c>
      <c r="I129" s="2">
        <v>6300</v>
      </c>
      <c r="J129" s="18" t="s">
        <v>30</v>
      </c>
      <c r="K129" s="16">
        <v>45492</v>
      </c>
      <c r="L129" s="18">
        <v>2</v>
      </c>
    </row>
    <row r="130" spans="1:12" x14ac:dyDescent="0.2">
      <c r="A130" s="9">
        <v>7822332130070</v>
      </c>
      <c r="B130" s="20" t="s">
        <v>740</v>
      </c>
      <c r="C130" s="13">
        <v>1</v>
      </c>
      <c r="D130" s="14" t="s">
        <v>50</v>
      </c>
      <c r="E130" s="2">
        <v>4000</v>
      </c>
      <c r="F130" s="1">
        <f t="shared" si="2"/>
        <v>5882.3529411764712</v>
      </c>
      <c r="G130" s="2">
        <v>7000</v>
      </c>
      <c r="H130" s="1">
        <f t="shared" si="3"/>
        <v>5882.3529411764712</v>
      </c>
      <c r="I130" s="2">
        <v>7000</v>
      </c>
      <c r="J130" s="18"/>
      <c r="K130" s="16">
        <v>45492</v>
      </c>
      <c r="L130" s="18">
        <v>60</v>
      </c>
    </row>
    <row r="131" spans="1:12" x14ac:dyDescent="0.2">
      <c r="A131" s="9" t="s">
        <v>764</v>
      </c>
      <c r="B131" s="20" t="s">
        <v>741</v>
      </c>
      <c r="C131" s="13">
        <v>1</v>
      </c>
      <c r="D131" s="14" t="s">
        <v>50</v>
      </c>
      <c r="E131" s="2">
        <v>4000</v>
      </c>
      <c r="F131" s="1">
        <f t="shared" ref="F131:F194" si="9">G131/1.19</f>
        <v>5882.3529411764712</v>
      </c>
      <c r="G131" s="2">
        <v>7000</v>
      </c>
      <c r="H131" s="1">
        <f t="shared" ref="H131:H194" si="10">I131/1.19</f>
        <v>5882.3529411764712</v>
      </c>
      <c r="I131" s="2">
        <v>7000</v>
      </c>
      <c r="J131" s="18"/>
      <c r="K131" s="16">
        <v>45492</v>
      </c>
      <c r="L131" s="18">
        <v>57</v>
      </c>
    </row>
    <row r="132" spans="1:12" x14ac:dyDescent="0.2">
      <c r="A132" s="9">
        <v>6973082350063</v>
      </c>
      <c r="B132" s="20" t="s">
        <v>739</v>
      </c>
      <c r="C132" s="13">
        <v>1</v>
      </c>
      <c r="D132" s="14" t="s">
        <v>50</v>
      </c>
      <c r="E132" s="2">
        <v>4000</v>
      </c>
      <c r="F132" s="1">
        <f t="shared" si="9"/>
        <v>5882.3529411764712</v>
      </c>
      <c r="G132" s="2">
        <v>7000</v>
      </c>
      <c r="H132" s="1">
        <f t="shared" si="10"/>
        <v>5882.3529411764712</v>
      </c>
      <c r="I132" s="2">
        <v>7000</v>
      </c>
      <c r="J132" s="18"/>
      <c r="K132" s="16">
        <v>45492</v>
      </c>
      <c r="L132" s="18">
        <v>39</v>
      </c>
    </row>
    <row r="133" spans="1:12" x14ac:dyDescent="0.2">
      <c r="A133" s="8">
        <v>7803700257093</v>
      </c>
      <c r="B133" s="12" t="s">
        <v>466</v>
      </c>
      <c r="C133" s="13">
        <v>10</v>
      </c>
      <c r="D133" s="14" t="s">
        <v>50</v>
      </c>
      <c r="E133" s="2">
        <v>979</v>
      </c>
      <c r="F133" s="1">
        <f t="shared" si="9"/>
        <v>1084.0336134453783</v>
      </c>
      <c r="G133" s="2">
        <v>1290</v>
      </c>
      <c r="H133" s="1">
        <f t="shared" si="10"/>
        <v>1050.420168067227</v>
      </c>
      <c r="I133" s="2">
        <v>1250</v>
      </c>
      <c r="J133" s="18" t="s">
        <v>30</v>
      </c>
      <c r="K133" s="16">
        <v>45275</v>
      </c>
      <c r="L133" s="18">
        <v>1</v>
      </c>
    </row>
    <row r="134" spans="1:12" x14ac:dyDescent="0.2">
      <c r="A134" s="8">
        <v>8690879777152</v>
      </c>
      <c r="B134" s="20" t="s">
        <v>180</v>
      </c>
      <c r="C134" s="25">
        <v>1</v>
      </c>
      <c r="D134" s="14" t="s">
        <v>50</v>
      </c>
      <c r="E134" s="2">
        <f>7770/1.19</f>
        <v>6529.4117647058829</v>
      </c>
      <c r="F134" s="1">
        <f t="shared" si="9"/>
        <v>8394.957983193277</v>
      </c>
      <c r="G134" s="2">
        <v>9990</v>
      </c>
      <c r="H134" s="1">
        <f t="shared" si="10"/>
        <v>7983.1932773109247</v>
      </c>
      <c r="I134" s="2">
        <v>9500</v>
      </c>
      <c r="J134" s="18" t="s">
        <v>20</v>
      </c>
      <c r="K134" s="16">
        <v>45417</v>
      </c>
      <c r="L134" s="18">
        <v>18</v>
      </c>
    </row>
    <row r="135" spans="1:12" x14ac:dyDescent="0.2">
      <c r="A135" s="26">
        <v>8690879777145</v>
      </c>
      <c r="B135" s="27" t="s">
        <v>179</v>
      </c>
      <c r="C135" s="28">
        <v>1</v>
      </c>
      <c r="D135" s="29" t="s">
        <v>50</v>
      </c>
      <c r="E135" s="3">
        <f>7770/1.19</f>
        <v>6529.4117647058829</v>
      </c>
      <c r="F135" s="1">
        <f t="shared" si="9"/>
        <v>8394.957983193277</v>
      </c>
      <c r="G135" s="2">
        <v>9990</v>
      </c>
      <c r="H135" s="1">
        <f t="shared" si="10"/>
        <v>7983.1932773109247</v>
      </c>
      <c r="I135" s="2">
        <v>9500</v>
      </c>
      <c r="J135" s="30" t="s">
        <v>20</v>
      </c>
      <c r="K135" s="31">
        <v>45417</v>
      </c>
      <c r="L135" s="18">
        <v>16</v>
      </c>
    </row>
    <row r="136" spans="1:12" x14ac:dyDescent="0.2">
      <c r="A136" s="9">
        <v>6971487128607</v>
      </c>
      <c r="B136" s="12" t="s">
        <v>676</v>
      </c>
      <c r="C136" s="13">
        <v>1</v>
      </c>
      <c r="D136" s="14" t="s">
        <v>50</v>
      </c>
      <c r="E136" s="2">
        <v>5034</v>
      </c>
      <c r="F136" s="1">
        <f t="shared" si="9"/>
        <v>5310.9243697478996</v>
      </c>
      <c r="G136" s="2">
        <v>6320</v>
      </c>
      <c r="H136" s="1">
        <f t="shared" si="10"/>
        <v>5142.8571428571431</v>
      </c>
      <c r="I136" s="2">
        <v>6120</v>
      </c>
      <c r="J136" s="18" t="s">
        <v>599</v>
      </c>
      <c r="K136" s="16">
        <v>45488</v>
      </c>
      <c r="L136" s="18">
        <v>5</v>
      </c>
    </row>
    <row r="137" spans="1:12" x14ac:dyDescent="0.2">
      <c r="A137" s="32">
        <v>6926833002025</v>
      </c>
      <c r="B137" s="33" t="s">
        <v>182</v>
      </c>
      <c r="C137" s="34">
        <v>24</v>
      </c>
      <c r="D137" s="35" t="s">
        <v>50</v>
      </c>
      <c r="E137" s="4">
        <f>(82301.4/24)/12</f>
        <v>285.76875000000001</v>
      </c>
      <c r="F137" s="1">
        <f t="shared" si="9"/>
        <v>386.55462184873949</v>
      </c>
      <c r="G137" s="4">
        <v>460</v>
      </c>
      <c r="H137" s="1">
        <f t="shared" si="10"/>
        <v>361.34453781512605</v>
      </c>
      <c r="I137" s="4">
        <v>430</v>
      </c>
      <c r="J137" s="36" t="s">
        <v>36</v>
      </c>
      <c r="K137" s="37">
        <v>44627</v>
      </c>
      <c r="L137" s="18">
        <v>20</v>
      </c>
    </row>
    <row r="138" spans="1:12" x14ac:dyDescent="0.2">
      <c r="A138" s="8">
        <v>6926833002124</v>
      </c>
      <c r="B138" s="12" t="s">
        <v>181</v>
      </c>
      <c r="C138" s="13">
        <v>24</v>
      </c>
      <c r="D138" s="14" t="s">
        <v>50</v>
      </c>
      <c r="E138" s="2">
        <f>(128026/24)/12</f>
        <v>444.53472222222223</v>
      </c>
      <c r="F138" s="1">
        <f t="shared" si="9"/>
        <v>596.63865546218494</v>
      </c>
      <c r="G138" s="2">
        <v>710</v>
      </c>
      <c r="H138" s="1">
        <f t="shared" si="10"/>
        <v>512.60504201680669</v>
      </c>
      <c r="I138" s="2">
        <v>610</v>
      </c>
      <c r="J138" s="18" t="s">
        <v>36</v>
      </c>
      <c r="K138" s="16">
        <v>44284</v>
      </c>
      <c r="L138" s="18">
        <v>156</v>
      </c>
    </row>
    <row r="139" spans="1:12" x14ac:dyDescent="0.2">
      <c r="A139" s="8">
        <v>6926833002117</v>
      </c>
      <c r="B139" s="12" t="s">
        <v>183</v>
      </c>
      <c r="C139" s="13">
        <v>1</v>
      </c>
      <c r="D139" s="14" t="s">
        <v>50</v>
      </c>
      <c r="E139" s="2">
        <f>82301.4/288</f>
        <v>285.76874999999995</v>
      </c>
      <c r="F139" s="1">
        <f t="shared" si="9"/>
        <v>386.55462184873949</v>
      </c>
      <c r="G139" s="2">
        <v>460</v>
      </c>
      <c r="H139" s="1">
        <f t="shared" si="10"/>
        <v>378.15126050420167</v>
      </c>
      <c r="I139" s="2">
        <v>450</v>
      </c>
      <c r="J139" s="18" t="s">
        <v>36</v>
      </c>
      <c r="K139" s="16">
        <v>44601</v>
      </c>
      <c r="L139" s="18">
        <v>82</v>
      </c>
    </row>
    <row r="140" spans="1:12" x14ac:dyDescent="0.2">
      <c r="A140" s="22">
        <v>7805020002019</v>
      </c>
      <c r="B140" s="12" t="s">
        <v>184</v>
      </c>
      <c r="C140" s="13">
        <v>12</v>
      </c>
      <c r="D140" s="14" t="s">
        <v>50</v>
      </c>
      <c r="E140" s="2">
        <f>15672/12</f>
        <v>1306</v>
      </c>
      <c r="F140" s="1">
        <f t="shared" si="9"/>
        <v>1705.8823529411766</v>
      </c>
      <c r="G140" s="2">
        <v>2030</v>
      </c>
      <c r="H140" s="1">
        <f t="shared" si="10"/>
        <v>1638.6554621848741</v>
      </c>
      <c r="I140" s="2">
        <v>1950</v>
      </c>
      <c r="J140" s="18" t="s">
        <v>17</v>
      </c>
      <c r="K140" s="16">
        <v>45044</v>
      </c>
      <c r="L140" s="18">
        <v>9</v>
      </c>
    </row>
    <row r="141" spans="1:12" x14ac:dyDescent="0.2">
      <c r="A141" s="8">
        <v>7805040005410</v>
      </c>
      <c r="B141" s="20" t="s">
        <v>467</v>
      </c>
      <c r="C141" s="13">
        <v>12</v>
      </c>
      <c r="D141" s="14" t="s">
        <v>50</v>
      </c>
      <c r="E141" s="2">
        <f>9968/12</f>
        <v>830.66666666666663</v>
      </c>
      <c r="F141" s="1">
        <f t="shared" si="9"/>
        <v>1117.6470588235295</v>
      </c>
      <c r="G141" s="2">
        <v>1330</v>
      </c>
      <c r="H141" s="1">
        <f t="shared" si="10"/>
        <v>1075.6302521008404</v>
      </c>
      <c r="I141" s="2">
        <v>1280</v>
      </c>
      <c r="J141" s="18" t="s">
        <v>34</v>
      </c>
      <c r="K141" s="16">
        <v>45328</v>
      </c>
      <c r="L141" s="18">
        <v>17</v>
      </c>
    </row>
    <row r="142" spans="1:12" x14ac:dyDescent="0.2">
      <c r="A142" s="8">
        <v>7805040005403</v>
      </c>
      <c r="B142" s="20" t="s">
        <v>468</v>
      </c>
      <c r="C142" s="13">
        <v>12</v>
      </c>
      <c r="D142" s="14" t="s">
        <v>50</v>
      </c>
      <c r="E142" s="2">
        <f>9968/12</f>
        <v>830.66666666666663</v>
      </c>
      <c r="F142" s="1">
        <f t="shared" si="9"/>
        <v>1117.6470588235295</v>
      </c>
      <c r="G142" s="2">
        <v>1330</v>
      </c>
      <c r="H142" s="1">
        <f t="shared" si="10"/>
        <v>1075.6302521008404</v>
      </c>
      <c r="I142" s="2">
        <v>1280</v>
      </c>
      <c r="J142" s="18" t="s">
        <v>34</v>
      </c>
      <c r="K142" s="16">
        <v>45328</v>
      </c>
      <c r="L142" s="18">
        <v>11</v>
      </c>
    </row>
    <row r="143" spans="1:12" x14ac:dyDescent="0.2">
      <c r="A143" s="8">
        <v>7805040005427</v>
      </c>
      <c r="B143" s="20" t="s">
        <v>469</v>
      </c>
      <c r="C143" s="13">
        <v>12</v>
      </c>
      <c r="D143" s="14" t="s">
        <v>50</v>
      </c>
      <c r="E143" s="2">
        <f>9968/12</f>
        <v>830.66666666666663</v>
      </c>
      <c r="F143" s="1">
        <f t="shared" si="9"/>
        <v>1117.6470588235295</v>
      </c>
      <c r="G143" s="2">
        <v>1330</v>
      </c>
      <c r="H143" s="1">
        <f t="shared" si="10"/>
        <v>1075.6302521008404</v>
      </c>
      <c r="I143" s="2">
        <v>1280</v>
      </c>
      <c r="J143" s="18" t="s">
        <v>34</v>
      </c>
      <c r="K143" s="16">
        <v>45078</v>
      </c>
      <c r="L143" s="18">
        <v>4</v>
      </c>
    </row>
    <row r="144" spans="1:12" x14ac:dyDescent="0.2">
      <c r="A144" s="8">
        <v>7804947004786</v>
      </c>
      <c r="B144" s="20" t="s">
        <v>185</v>
      </c>
      <c r="C144" s="13">
        <v>1</v>
      </c>
      <c r="D144" s="14" t="s">
        <v>50</v>
      </c>
      <c r="E144" s="2">
        <v>780</v>
      </c>
      <c r="F144" s="1">
        <f t="shared" si="9"/>
        <v>1050.420168067227</v>
      </c>
      <c r="G144" s="2">
        <v>1250</v>
      </c>
      <c r="H144" s="1">
        <f t="shared" si="10"/>
        <v>1008.4033613445379</v>
      </c>
      <c r="I144" s="2">
        <v>1200</v>
      </c>
      <c r="J144" s="18" t="s">
        <v>39</v>
      </c>
      <c r="K144" s="16">
        <v>44620</v>
      </c>
      <c r="L144" s="18">
        <v>25</v>
      </c>
    </row>
    <row r="145" spans="1:12" x14ac:dyDescent="0.2">
      <c r="A145" s="8">
        <v>7804947004915</v>
      </c>
      <c r="B145" s="20" t="s">
        <v>186</v>
      </c>
      <c r="C145" s="13">
        <v>6</v>
      </c>
      <c r="D145" s="14" t="s">
        <v>50</v>
      </c>
      <c r="E145" s="2">
        <v>1615</v>
      </c>
      <c r="F145" s="1">
        <f t="shared" si="9"/>
        <v>2159.6638655462184</v>
      </c>
      <c r="G145" s="2">
        <v>2570</v>
      </c>
      <c r="H145" s="1">
        <f t="shared" si="10"/>
        <v>2075.6302521008406</v>
      </c>
      <c r="I145" s="2">
        <v>2470</v>
      </c>
      <c r="J145" s="18" t="s">
        <v>39</v>
      </c>
      <c r="K145" s="16">
        <v>44620</v>
      </c>
      <c r="L145" s="18">
        <v>10</v>
      </c>
    </row>
    <row r="146" spans="1:12" x14ac:dyDescent="0.2">
      <c r="A146" s="8">
        <v>7805083000121</v>
      </c>
      <c r="B146" s="20" t="s">
        <v>49</v>
      </c>
      <c r="C146" s="13">
        <v>30</v>
      </c>
      <c r="D146" s="14" t="s">
        <v>50</v>
      </c>
      <c r="E146" s="2">
        <f>27000/30</f>
        <v>900</v>
      </c>
      <c r="F146" s="1">
        <f t="shared" si="9"/>
        <v>1134.453781512605</v>
      </c>
      <c r="G146" s="2">
        <v>1350</v>
      </c>
      <c r="H146" s="1">
        <f t="shared" si="10"/>
        <v>1050.420168067227</v>
      </c>
      <c r="I146" s="2">
        <v>1250</v>
      </c>
      <c r="J146" s="18" t="s">
        <v>26</v>
      </c>
      <c r="K146" s="16">
        <v>44763</v>
      </c>
      <c r="L146" s="18">
        <v>49</v>
      </c>
    </row>
    <row r="147" spans="1:12" x14ac:dyDescent="0.2">
      <c r="A147" s="8" t="s">
        <v>54</v>
      </c>
      <c r="B147" s="20" t="s">
        <v>123</v>
      </c>
      <c r="C147" s="13">
        <v>12</v>
      </c>
      <c r="D147" s="14" t="s">
        <v>50</v>
      </c>
      <c r="E147" s="2">
        <f>590/1.19</f>
        <v>495.79831932773112</v>
      </c>
      <c r="F147" s="1">
        <f t="shared" si="9"/>
        <v>823.52941176470597</v>
      </c>
      <c r="G147" s="2">
        <v>980</v>
      </c>
      <c r="H147" s="1">
        <f t="shared" si="10"/>
        <v>773.10924369747897</v>
      </c>
      <c r="I147" s="2">
        <v>920</v>
      </c>
      <c r="J147" s="18" t="s">
        <v>19</v>
      </c>
      <c r="K147" s="16">
        <v>44427</v>
      </c>
      <c r="L147" s="18">
        <v>6</v>
      </c>
    </row>
    <row r="148" spans="1:12" x14ac:dyDescent="0.2">
      <c r="A148" s="8">
        <v>7805020001784</v>
      </c>
      <c r="B148" s="20" t="s">
        <v>187</v>
      </c>
      <c r="C148" s="13">
        <v>12</v>
      </c>
      <c r="D148" s="14" t="s">
        <v>50</v>
      </c>
      <c r="E148" s="2">
        <f>15699/12</f>
        <v>1308.25</v>
      </c>
      <c r="F148" s="1">
        <f t="shared" si="9"/>
        <v>1764.7058823529412</v>
      </c>
      <c r="G148" s="2">
        <v>2100</v>
      </c>
      <c r="H148" s="1">
        <f t="shared" si="10"/>
        <v>1689.0756302521008</v>
      </c>
      <c r="I148" s="2">
        <v>2010</v>
      </c>
      <c r="J148" s="18" t="s">
        <v>17</v>
      </c>
      <c r="K148" s="16">
        <v>45317</v>
      </c>
      <c r="L148" s="18">
        <v>2</v>
      </c>
    </row>
    <row r="149" spans="1:12" x14ac:dyDescent="0.2">
      <c r="A149" s="8">
        <v>7804612750017</v>
      </c>
      <c r="B149" s="20" t="s">
        <v>124</v>
      </c>
      <c r="C149" s="13">
        <v>12</v>
      </c>
      <c r="D149" s="14" t="s">
        <v>50</v>
      </c>
      <c r="E149" s="2">
        <f>710/1.19</f>
        <v>596.63865546218494</v>
      </c>
      <c r="F149" s="1">
        <f t="shared" si="9"/>
        <v>865.54621848739498</v>
      </c>
      <c r="G149" s="2">
        <v>1030</v>
      </c>
      <c r="H149" s="1">
        <f t="shared" si="10"/>
        <v>823.52941176470597</v>
      </c>
      <c r="I149" s="2">
        <v>980</v>
      </c>
      <c r="J149" s="18" t="s">
        <v>19</v>
      </c>
      <c r="K149" s="16">
        <v>45434</v>
      </c>
      <c r="L149" s="18">
        <v>30</v>
      </c>
    </row>
    <row r="150" spans="1:12" x14ac:dyDescent="0.2">
      <c r="A150" s="22">
        <v>7805083000565</v>
      </c>
      <c r="B150" s="12" t="s">
        <v>48</v>
      </c>
      <c r="C150" s="13">
        <v>50</v>
      </c>
      <c r="D150" s="14" t="s">
        <v>50</v>
      </c>
      <c r="E150" s="2">
        <f>27500/50</f>
        <v>550</v>
      </c>
      <c r="F150" s="1">
        <f t="shared" si="9"/>
        <v>697.47899159663871</v>
      </c>
      <c r="G150" s="2">
        <v>830</v>
      </c>
      <c r="H150" s="1">
        <f t="shared" si="10"/>
        <v>605.0420168067227</v>
      </c>
      <c r="I150" s="2">
        <v>720</v>
      </c>
      <c r="J150" s="18" t="s">
        <v>26</v>
      </c>
      <c r="K150" s="16">
        <v>44763</v>
      </c>
      <c r="L150" s="18">
        <v>83</v>
      </c>
    </row>
    <row r="151" spans="1:12" x14ac:dyDescent="0.2">
      <c r="A151" s="8">
        <v>7805040005748</v>
      </c>
      <c r="B151" s="12" t="s">
        <v>651</v>
      </c>
      <c r="C151" s="13">
        <v>12</v>
      </c>
      <c r="D151" s="14" t="s">
        <v>50</v>
      </c>
      <c r="E151" s="2">
        <f>9066/12</f>
        <v>755.5</v>
      </c>
      <c r="F151" s="1">
        <f t="shared" si="9"/>
        <v>1092.4369747899161</v>
      </c>
      <c r="G151" s="2">
        <v>1300</v>
      </c>
      <c r="H151" s="1">
        <f t="shared" si="10"/>
        <v>1025.2100840336134</v>
      </c>
      <c r="I151" s="2">
        <v>1220</v>
      </c>
      <c r="J151" s="18" t="s">
        <v>353</v>
      </c>
      <c r="K151" s="16">
        <v>45448</v>
      </c>
      <c r="L151" s="18">
        <v>30</v>
      </c>
    </row>
    <row r="152" spans="1:12" x14ac:dyDescent="0.2">
      <c r="A152" s="22">
        <v>7804612220268</v>
      </c>
      <c r="B152" s="12" t="s">
        <v>598</v>
      </c>
      <c r="C152" s="13">
        <v>1</v>
      </c>
      <c r="D152" s="14" t="s">
        <v>50</v>
      </c>
      <c r="E152" s="2">
        <v>1358</v>
      </c>
      <c r="F152" s="1">
        <f t="shared" si="9"/>
        <v>1932.7731092436975</v>
      </c>
      <c r="G152" s="2">
        <v>2300</v>
      </c>
      <c r="H152" s="1">
        <f t="shared" si="10"/>
        <v>1857.1428571428573</v>
      </c>
      <c r="I152" s="2">
        <v>2210</v>
      </c>
      <c r="J152" s="18" t="s">
        <v>592</v>
      </c>
      <c r="K152" s="16">
        <v>45409</v>
      </c>
      <c r="L152" s="18">
        <v>1</v>
      </c>
    </row>
    <row r="153" spans="1:12" x14ac:dyDescent="0.2">
      <c r="A153" s="8">
        <v>580733089</v>
      </c>
      <c r="B153" s="12" t="s">
        <v>755</v>
      </c>
      <c r="C153" s="13">
        <v>30</v>
      </c>
      <c r="D153" s="14" t="s">
        <v>50</v>
      </c>
      <c r="E153" s="1">
        <v>40</v>
      </c>
      <c r="F153" s="1">
        <f t="shared" si="9"/>
        <v>84.033613445378151</v>
      </c>
      <c r="G153" s="1">
        <v>100</v>
      </c>
      <c r="H153" s="1">
        <f t="shared" si="10"/>
        <v>84.033613445378151</v>
      </c>
      <c r="I153" s="1">
        <v>100</v>
      </c>
      <c r="J153" s="18"/>
      <c r="K153" s="16">
        <v>45407</v>
      </c>
      <c r="L153" s="18">
        <v>150</v>
      </c>
    </row>
    <row r="154" spans="1:12" x14ac:dyDescent="0.2">
      <c r="A154" s="8">
        <v>580733140</v>
      </c>
      <c r="B154" s="12" t="s">
        <v>754</v>
      </c>
      <c r="C154" s="13">
        <v>30</v>
      </c>
      <c r="D154" s="14" t="s">
        <v>50</v>
      </c>
      <c r="E154" s="1">
        <v>40</v>
      </c>
      <c r="F154" s="1">
        <f t="shared" si="9"/>
        <v>84.033613445378151</v>
      </c>
      <c r="G154" s="1">
        <v>100</v>
      </c>
      <c r="H154" s="1">
        <f t="shared" si="10"/>
        <v>84.033613445378151</v>
      </c>
      <c r="I154" s="1">
        <v>100</v>
      </c>
      <c r="J154" s="18"/>
      <c r="K154" s="16">
        <v>45407</v>
      </c>
      <c r="L154" s="18">
        <v>240</v>
      </c>
    </row>
    <row r="155" spans="1:12" x14ac:dyDescent="0.2">
      <c r="A155" s="8">
        <v>7805000323233</v>
      </c>
      <c r="B155" s="12" t="s">
        <v>719</v>
      </c>
      <c r="C155" s="13">
        <v>10</v>
      </c>
      <c r="D155" s="14" t="s">
        <v>50</v>
      </c>
      <c r="E155" s="1">
        <f>1167/1.19</f>
        <v>980.67226890756308</v>
      </c>
      <c r="F155" s="1">
        <f t="shared" si="9"/>
        <v>1411.7647058823529</v>
      </c>
      <c r="G155" s="1">
        <v>1680</v>
      </c>
      <c r="H155" s="1">
        <f t="shared" si="10"/>
        <v>1344.5378151260504</v>
      </c>
      <c r="I155" s="1">
        <v>1600</v>
      </c>
      <c r="J155" s="15" t="s">
        <v>353</v>
      </c>
      <c r="K155" s="16">
        <v>45407</v>
      </c>
      <c r="L155" s="18">
        <v>9</v>
      </c>
    </row>
    <row r="156" spans="1:12" x14ac:dyDescent="0.2">
      <c r="A156" s="8">
        <v>7805000323226</v>
      </c>
      <c r="B156" s="12" t="s">
        <v>718</v>
      </c>
      <c r="C156" s="13">
        <v>10</v>
      </c>
      <c r="D156" s="14" t="s">
        <v>50</v>
      </c>
      <c r="E156" s="1">
        <f>1167/1.19</f>
        <v>980.67226890756308</v>
      </c>
      <c r="F156" s="1">
        <f t="shared" si="9"/>
        <v>1411.7647058823529</v>
      </c>
      <c r="G156" s="1">
        <v>1680</v>
      </c>
      <c r="H156" s="1">
        <f t="shared" si="10"/>
        <v>1344.5378151260504</v>
      </c>
      <c r="I156" s="1">
        <v>1600</v>
      </c>
      <c r="J156" s="15" t="s">
        <v>353</v>
      </c>
      <c r="K156" s="16">
        <v>45407</v>
      </c>
      <c r="L156" s="18">
        <v>11</v>
      </c>
    </row>
    <row r="157" spans="1:12" x14ac:dyDescent="0.2">
      <c r="A157" s="8">
        <v>7805000323219</v>
      </c>
      <c r="B157" s="12" t="s">
        <v>720</v>
      </c>
      <c r="C157" s="13">
        <v>10</v>
      </c>
      <c r="D157" s="14" t="s">
        <v>50</v>
      </c>
      <c r="E157" s="1">
        <f>1167/1.19</f>
        <v>980.67226890756308</v>
      </c>
      <c r="F157" s="1">
        <f t="shared" si="9"/>
        <v>1411.7647058823529</v>
      </c>
      <c r="G157" s="1">
        <v>1680</v>
      </c>
      <c r="H157" s="1">
        <f t="shared" si="10"/>
        <v>1344.5378151260504</v>
      </c>
      <c r="I157" s="1">
        <v>1600</v>
      </c>
      <c r="J157" s="15" t="s">
        <v>353</v>
      </c>
      <c r="K157" s="16">
        <v>45407</v>
      </c>
      <c r="L157" s="18">
        <v>8</v>
      </c>
    </row>
    <row r="158" spans="1:12" x14ac:dyDescent="0.2">
      <c r="A158" s="8">
        <v>7802410101376</v>
      </c>
      <c r="B158" s="12" t="s">
        <v>362</v>
      </c>
      <c r="C158" s="13">
        <v>50</v>
      </c>
      <c r="D158" s="14" t="s">
        <v>50</v>
      </c>
      <c r="E158" s="1">
        <f>11160/50</f>
        <v>223.2</v>
      </c>
      <c r="F158" s="1">
        <f t="shared" si="9"/>
        <v>302.52100840336135</v>
      </c>
      <c r="G158" s="1">
        <v>360</v>
      </c>
      <c r="H158" s="1">
        <f t="shared" si="10"/>
        <v>294.11764705882354</v>
      </c>
      <c r="I158" s="1">
        <v>350</v>
      </c>
      <c r="J158" s="15" t="s">
        <v>357</v>
      </c>
      <c r="K158" s="16">
        <v>44902</v>
      </c>
      <c r="L158" s="18">
        <v>10</v>
      </c>
    </row>
    <row r="159" spans="1:12" x14ac:dyDescent="0.2">
      <c r="A159" s="9">
        <v>1000000060103</v>
      </c>
      <c r="B159" s="12" t="s">
        <v>644</v>
      </c>
      <c r="C159" s="13">
        <v>1</v>
      </c>
      <c r="D159" s="14" t="s">
        <v>50</v>
      </c>
      <c r="E159" s="2">
        <v>1891</v>
      </c>
      <c r="F159" s="1">
        <f t="shared" si="9"/>
        <v>2789.9159663865548</v>
      </c>
      <c r="G159" s="2">
        <v>3320</v>
      </c>
      <c r="H159" s="1">
        <f t="shared" si="10"/>
        <v>2672.2689075630256</v>
      </c>
      <c r="I159" s="2">
        <v>3180</v>
      </c>
      <c r="J159" s="18" t="s">
        <v>434</v>
      </c>
      <c r="K159" s="16">
        <v>45454</v>
      </c>
      <c r="L159" s="18">
        <v>9</v>
      </c>
    </row>
    <row r="160" spans="1:12" x14ac:dyDescent="0.2">
      <c r="A160" s="9">
        <v>7806810029001</v>
      </c>
      <c r="B160" s="12" t="s">
        <v>693</v>
      </c>
      <c r="C160" s="13">
        <v>15</v>
      </c>
      <c r="D160" s="14" t="s">
        <v>50</v>
      </c>
      <c r="E160" s="2">
        <f>891.8/1.19</f>
        <v>749.41176470588232</v>
      </c>
      <c r="F160" s="1">
        <f t="shared" si="9"/>
        <v>1008.4033613445379</v>
      </c>
      <c r="G160" s="2">
        <v>1200</v>
      </c>
      <c r="H160" s="1">
        <f t="shared" si="10"/>
        <v>966.38655462184875</v>
      </c>
      <c r="I160" s="2">
        <v>1150</v>
      </c>
      <c r="J160" s="18" t="s">
        <v>353</v>
      </c>
      <c r="K160" s="16">
        <v>45492</v>
      </c>
      <c r="L160" s="18">
        <v>113</v>
      </c>
    </row>
    <row r="161" spans="1:12" x14ac:dyDescent="0.2">
      <c r="A161" s="8" t="s">
        <v>32</v>
      </c>
      <c r="B161" s="20" t="s">
        <v>125</v>
      </c>
      <c r="C161" s="13">
        <v>10</v>
      </c>
      <c r="D161" s="14" t="s">
        <v>50</v>
      </c>
      <c r="E161" s="2">
        <f>890/1.19</f>
        <v>747.89915966386559</v>
      </c>
      <c r="F161" s="1">
        <f t="shared" si="9"/>
        <v>1075.6302521008404</v>
      </c>
      <c r="G161" s="2">
        <v>1280</v>
      </c>
      <c r="H161" s="1">
        <f t="shared" si="10"/>
        <v>1016.8067226890756</v>
      </c>
      <c r="I161" s="2">
        <v>1210</v>
      </c>
      <c r="J161" s="18" t="s">
        <v>19</v>
      </c>
      <c r="K161" s="16">
        <v>45434</v>
      </c>
      <c r="L161" s="18">
        <v>38</v>
      </c>
    </row>
    <row r="162" spans="1:12" x14ac:dyDescent="0.2">
      <c r="A162" s="38">
        <v>753153683537</v>
      </c>
      <c r="B162" s="12" t="s">
        <v>188</v>
      </c>
      <c r="C162" s="13">
        <v>1</v>
      </c>
      <c r="D162" s="14" t="s">
        <v>50</v>
      </c>
      <c r="E162" s="2">
        <v>695</v>
      </c>
      <c r="F162" s="1">
        <f t="shared" si="9"/>
        <v>1260.5042016806724</v>
      </c>
      <c r="G162" s="2">
        <v>1500</v>
      </c>
      <c r="H162" s="1">
        <f t="shared" si="10"/>
        <v>1134.453781512605</v>
      </c>
      <c r="I162" s="2">
        <v>1350</v>
      </c>
      <c r="J162" s="18" t="s">
        <v>21</v>
      </c>
      <c r="K162" s="16">
        <v>45434</v>
      </c>
      <c r="L162" s="18">
        <v>30</v>
      </c>
    </row>
    <row r="163" spans="1:12" x14ac:dyDescent="0.2">
      <c r="A163" s="8">
        <v>7805040001832</v>
      </c>
      <c r="B163" s="20" t="s">
        <v>189</v>
      </c>
      <c r="C163" s="13">
        <v>10</v>
      </c>
      <c r="D163" s="14" t="s">
        <v>50</v>
      </c>
      <c r="E163" s="2">
        <f>7478/10</f>
        <v>747.8</v>
      </c>
      <c r="F163" s="1">
        <f t="shared" si="9"/>
        <v>1075.6302521008404</v>
      </c>
      <c r="G163" s="2">
        <v>1280</v>
      </c>
      <c r="H163" s="1">
        <f t="shared" si="10"/>
        <v>991.59663865546224</v>
      </c>
      <c r="I163" s="2">
        <v>1180</v>
      </c>
      <c r="J163" s="18" t="s">
        <v>34</v>
      </c>
      <c r="K163" s="16">
        <v>45328</v>
      </c>
      <c r="L163" s="18">
        <v>3</v>
      </c>
    </row>
    <row r="164" spans="1:12" x14ac:dyDescent="0.2">
      <c r="A164" s="8">
        <v>7805040001825</v>
      </c>
      <c r="B164" s="20" t="s">
        <v>190</v>
      </c>
      <c r="C164" s="13">
        <v>10</v>
      </c>
      <c r="D164" s="14" t="s">
        <v>50</v>
      </c>
      <c r="E164" s="2">
        <f>7478/10</f>
        <v>747.8</v>
      </c>
      <c r="F164" s="1">
        <f t="shared" si="9"/>
        <v>1075.6302521008404</v>
      </c>
      <c r="G164" s="2">
        <v>1280</v>
      </c>
      <c r="H164" s="1">
        <f t="shared" si="10"/>
        <v>991.59663865546224</v>
      </c>
      <c r="I164" s="2">
        <v>1180</v>
      </c>
      <c r="J164" s="18" t="s">
        <v>34</v>
      </c>
      <c r="K164" s="16">
        <v>45328</v>
      </c>
      <c r="L164" s="18">
        <v>4</v>
      </c>
    </row>
    <row r="165" spans="1:12" x14ac:dyDescent="0.2">
      <c r="A165" s="8">
        <v>7802800531141</v>
      </c>
      <c r="B165" s="12" t="s">
        <v>666</v>
      </c>
      <c r="C165" s="13">
        <v>1</v>
      </c>
      <c r="D165" s="14" t="s">
        <v>50</v>
      </c>
      <c r="E165" s="2">
        <v>1080</v>
      </c>
      <c r="F165" s="1">
        <f t="shared" si="9"/>
        <v>1361.3445378151262</v>
      </c>
      <c r="G165" s="2">
        <v>1620</v>
      </c>
      <c r="H165" s="1">
        <f t="shared" si="10"/>
        <v>1310.9243697478992</v>
      </c>
      <c r="I165" s="2">
        <v>1560</v>
      </c>
      <c r="J165" s="18" t="s">
        <v>30</v>
      </c>
      <c r="K165" s="16">
        <v>45471</v>
      </c>
      <c r="L165" s="18">
        <v>3</v>
      </c>
    </row>
    <row r="166" spans="1:12" x14ac:dyDescent="0.2">
      <c r="A166" s="8" t="s">
        <v>640</v>
      </c>
      <c r="B166" s="20" t="s">
        <v>641</v>
      </c>
      <c r="C166" s="13">
        <v>1</v>
      </c>
      <c r="D166" s="14" t="s">
        <v>50</v>
      </c>
      <c r="E166" s="2">
        <f>1890/1.19</f>
        <v>1588.2352941176471</v>
      </c>
      <c r="F166" s="1">
        <f t="shared" si="9"/>
        <v>2268.90756302521</v>
      </c>
      <c r="G166" s="2">
        <v>2700</v>
      </c>
      <c r="H166" s="1">
        <f t="shared" si="10"/>
        <v>2176.4705882352941</v>
      </c>
      <c r="I166" s="2">
        <v>2590</v>
      </c>
      <c r="J166" s="18" t="s">
        <v>19</v>
      </c>
      <c r="K166" s="16">
        <v>45434</v>
      </c>
      <c r="L166" s="18">
        <v>3</v>
      </c>
    </row>
    <row r="167" spans="1:12" x14ac:dyDescent="0.2">
      <c r="A167" s="8">
        <v>7802225683296</v>
      </c>
      <c r="B167" s="12" t="s">
        <v>634</v>
      </c>
      <c r="C167" s="13">
        <v>10</v>
      </c>
      <c r="D167" s="14" t="s">
        <v>50</v>
      </c>
      <c r="E167" s="21">
        <v>966</v>
      </c>
      <c r="F167" s="1">
        <f t="shared" si="9"/>
        <v>1344.5378151260504</v>
      </c>
      <c r="G167" s="21">
        <v>1600</v>
      </c>
      <c r="H167" s="1">
        <f t="shared" si="10"/>
        <v>1277.3109243697479</v>
      </c>
      <c r="I167" s="21">
        <v>1520</v>
      </c>
      <c r="J167" s="18" t="s">
        <v>632</v>
      </c>
      <c r="K167" s="16">
        <v>45411</v>
      </c>
      <c r="L167" s="18">
        <v>3</v>
      </c>
    </row>
    <row r="168" spans="1:12" x14ac:dyDescent="0.2">
      <c r="A168" s="22">
        <v>7613032414580</v>
      </c>
      <c r="B168" s="12" t="s">
        <v>459</v>
      </c>
      <c r="C168" s="13">
        <v>48</v>
      </c>
      <c r="D168" s="14" t="s">
        <v>50</v>
      </c>
      <c r="E168" s="2">
        <f>33076/48</f>
        <v>689.08333333333337</v>
      </c>
      <c r="F168" s="1">
        <f t="shared" si="9"/>
        <v>924.36974789915973</v>
      </c>
      <c r="G168" s="2">
        <v>1100</v>
      </c>
      <c r="H168" s="1">
        <f t="shared" si="10"/>
        <v>848.73949579831935</v>
      </c>
      <c r="I168" s="2">
        <v>1010</v>
      </c>
      <c r="J168" s="18" t="s">
        <v>458</v>
      </c>
      <c r="K168" s="16">
        <v>45055</v>
      </c>
      <c r="L168" s="18">
        <v>12</v>
      </c>
    </row>
    <row r="169" spans="1:12" x14ac:dyDescent="0.2">
      <c r="A169" s="8">
        <v>7803700012242</v>
      </c>
      <c r="B169" s="12" t="s">
        <v>603</v>
      </c>
      <c r="C169" s="13">
        <v>18</v>
      </c>
      <c r="D169" s="14" t="s">
        <v>50</v>
      </c>
      <c r="E169" s="2">
        <v>288</v>
      </c>
      <c r="F169" s="1">
        <f t="shared" si="9"/>
        <v>327.73109243697479</v>
      </c>
      <c r="G169" s="2">
        <v>390</v>
      </c>
      <c r="H169" s="1">
        <f t="shared" si="10"/>
        <v>319.32773109243698</v>
      </c>
      <c r="I169" s="2">
        <v>380</v>
      </c>
      <c r="J169" s="18" t="s">
        <v>30</v>
      </c>
      <c r="K169" s="16">
        <v>45378</v>
      </c>
      <c r="L169" s="18">
        <v>12</v>
      </c>
    </row>
    <row r="170" spans="1:12" x14ac:dyDescent="0.2">
      <c r="A170" s="22">
        <v>7804612750048</v>
      </c>
      <c r="B170" s="12" t="s">
        <v>126</v>
      </c>
      <c r="C170" s="13">
        <v>1</v>
      </c>
      <c r="D170" s="14" t="s">
        <v>50</v>
      </c>
      <c r="E170" s="2">
        <f>710/1.19</f>
        <v>596.63865546218494</v>
      </c>
      <c r="F170" s="1">
        <f t="shared" si="9"/>
        <v>865.54621848739498</v>
      </c>
      <c r="G170" s="2">
        <v>1030</v>
      </c>
      <c r="H170" s="1">
        <f t="shared" si="10"/>
        <v>798.31932773109247</v>
      </c>
      <c r="I170" s="2">
        <v>950</v>
      </c>
      <c r="J170" s="18" t="s">
        <v>19</v>
      </c>
      <c r="K170" s="16">
        <v>45434</v>
      </c>
      <c r="L170" s="18">
        <v>5</v>
      </c>
    </row>
    <row r="171" spans="1:12" x14ac:dyDescent="0.2">
      <c r="A171" s="22">
        <v>3894143695295</v>
      </c>
      <c r="B171" s="12" t="s">
        <v>339</v>
      </c>
      <c r="C171" s="13">
        <v>12</v>
      </c>
      <c r="D171" s="14" t="s">
        <v>50</v>
      </c>
      <c r="E171" s="2">
        <v>619</v>
      </c>
      <c r="F171" s="1">
        <f t="shared" si="9"/>
        <v>1142.8571428571429</v>
      </c>
      <c r="G171" s="2">
        <v>1360</v>
      </c>
      <c r="H171" s="1">
        <f t="shared" si="10"/>
        <v>1092.4369747899161</v>
      </c>
      <c r="I171" s="2">
        <v>1300</v>
      </c>
      <c r="J171" s="18" t="s">
        <v>89</v>
      </c>
      <c r="K171" s="16">
        <v>44540</v>
      </c>
      <c r="L171" s="18">
        <v>3</v>
      </c>
    </row>
    <row r="172" spans="1:12" x14ac:dyDescent="0.2">
      <c r="A172" s="22">
        <v>3894143695264</v>
      </c>
      <c r="B172" s="12" t="s">
        <v>340</v>
      </c>
      <c r="C172" s="13">
        <v>12</v>
      </c>
      <c r="D172" s="14" t="s">
        <v>50</v>
      </c>
      <c r="E172" s="2">
        <f>990/1.19</f>
        <v>831.93277310924373</v>
      </c>
      <c r="F172" s="1">
        <f t="shared" si="9"/>
        <v>1142.8571428571429</v>
      </c>
      <c r="G172" s="2">
        <v>1360</v>
      </c>
      <c r="H172" s="1">
        <f t="shared" si="10"/>
        <v>1092.4369747899161</v>
      </c>
      <c r="I172" s="2">
        <v>1300</v>
      </c>
      <c r="J172" s="18" t="s">
        <v>89</v>
      </c>
      <c r="K172" s="37">
        <v>45408</v>
      </c>
      <c r="L172" s="18">
        <v>3</v>
      </c>
    </row>
    <row r="173" spans="1:12" x14ac:dyDescent="0.2">
      <c r="A173" s="22">
        <v>3894143695424</v>
      </c>
      <c r="B173" s="12" t="s">
        <v>341</v>
      </c>
      <c r="C173" s="13">
        <v>12</v>
      </c>
      <c r="D173" s="14" t="s">
        <v>50</v>
      </c>
      <c r="E173" s="2">
        <f>944/1.19</f>
        <v>793.27731092436977</v>
      </c>
      <c r="F173" s="1">
        <f t="shared" si="9"/>
        <v>1142.8571428571429</v>
      </c>
      <c r="G173" s="2">
        <v>1360</v>
      </c>
      <c r="H173" s="1">
        <f t="shared" si="10"/>
        <v>1092.4369747899161</v>
      </c>
      <c r="I173" s="2">
        <v>1300</v>
      </c>
      <c r="J173" s="18" t="s">
        <v>89</v>
      </c>
      <c r="K173" s="16">
        <v>45310</v>
      </c>
      <c r="L173" s="18">
        <v>1</v>
      </c>
    </row>
    <row r="174" spans="1:12" x14ac:dyDescent="0.2">
      <c r="A174" s="22">
        <v>3894143695431</v>
      </c>
      <c r="B174" s="12" t="s">
        <v>342</v>
      </c>
      <c r="C174" s="13">
        <v>12</v>
      </c>
      <c r="D174" s="14" t="s">
        <v>50</v>
      </c>
      <c r="E174" s="2">
        <f>944/1.19</f>
        <v>793.27731092436977</v>
      </c>
      <c r="F174" s="1">
        <f t="shared" si="9"/>
        <v>1142.8571428571429</v>
      </c>
      <c r="G174" s="2">
        <v>1360</v>
      </c>
      <c r="H174" s="1">
        <f t="shared" si="10"/>
        <v>1092.4369747899161</v>
      </c>
      <c r="I174" s="2">
        <v>1300</v>
      </c>
      <c r="J174" s="18" t="s">
        <v>89</v>
      </c>
      <c r="K174" s="16">
        <v>45310</v>
      </c>
      <c r="L174" s="18">
        <v>3</v>
      </c>
    </row>
    <row r="175" spans="1:12" x14ac:dyDescent="0.2">
      <c r="A175" s="22">
        <v>3894143695318</v>
      </c>
      <c r="B175" s="12" t="s">
        <v>343</v>
      </c>
      <c r="C175" s="13">
        <v>12</v>
      </c>
      <c r="D175" s="14" t="s">
        <v>50</v>
      </c>
      <c r="E175" s="2">
        <f>944/1.19</f>
        <v>793.27731092436977</v>
      </c>
      <c r="F175" s="1">
        <f t="shared" si="9"/>
        <v>1142.8571428571429</v>
      </c>
      <c r="G175" s="2">
        <v>1360</v>
      </c>
      <c r="H175" s="1">
        <f t="shared" si="10"/>
        <v>1092.4369747899161</v>
      </c>
      <c r="I175" s="2">
        <v>1300</v>
      </c>
      <c r="J175" s="18" t="s">
        <v>89</v>
      </c>
      <c r="K175" s="16">
        <v>45310</v>
      </c>
      <c r="L175" s="18">
        <v>3</v>
      </c>
    </row>
    <row r="176" spans="1:12" x14ac:dyDescent="0.2">
      <c r="A176" s="22">
        <v>3894143695288</v>
      </c>
      <c r="B176" s="12" t="s">
        <v>344</v>
      </c>
      <c r="C176" s="13">
        <v>12</v>
      </c>
      <c r="D176" s="14" t="s">
        <v>50</v>
      </c>
      <c r="E176" s="2">
        <f>990/1.19</f>
        <v>831.93277310924373</v>
      </c>
      <c r="F176" s="1">
        <f t="shared" si="9"/>
        <v>1142.8571428571429</v>
      </c>
      <c r="G176" s="2">
        <v>1360</v>
      </c>
      <c r="H176" s="1">
        <f t="shared" si="10"/>
        <v>1092.4369747899161</v>
      </c>
      <c r="I176" s="2">
        <v>1300</v>
      </c>
      <c r="J176" s="18" t="s">
        <v>89</v>
      </c>
      <c r="K176" s="16">
        <v>45310</v>
      </c>
      <c r="L176" s="18">
        <v>18</v>
      </c>
    </row>
    <row r="177" spans="1:13" x14ac:dyDescent="0.2">
      <c r="A177" s="8">
        <v>7805040004499</v>
      </c>
      <c r="B177" s="12" t="s">
        <v>569</v>
      </c>
      <c r="C177" s="13">
        <v>12</v>
      </c>
      <c r="D177" s="14" t="s">
        <v>50</v>
      </c>
      <c r="E177" s="2">
        <f>9979/12</f>
        <v>831.58333333333337</v>
      </c>
      <c r="F177" s="1">
        <f t="shared" si="9"/>
        <v>1193.2773109243699</v>
      </c>
      <c r="G177" s="2">
        <v>1420</v>
      </c>
      <c r="H177" s="1">
        <f t="shared" si="10"/>
        <v>1151.2605042016808</v>
      </c>
      <c r="I177" s="2">
        <v>1370</v>
      </c>
      <c r="J177" s="18" t="s">
        <v>34</v>
      </c>
      <c r="K177" s="16">
        <v>45328</v>
      </c>
      <c r="L177" s="18">
        <v>12</v>
      </c>
    </row>
    <row r="178" spans="1:13" x14ac:dyDescent="0.2">
      <c r="A178" s="8">
        <v>7805040000606</v>
      </c>
      <c r="B178" s="12" t="s">
        <v>349</v>
      </c>
      <c r="C178" s="13">
        <v>12</v>
      </c>
      <c r="D178" s="14" t="s">
        <v>50</v>
      </c>
      <c r="E178" s="2">
        <f>9979/12</f>
        <v>831.58333333333337</v>
      </c>
      <c r="F178" s="1">
        <f t="shared" si="9"/>
        <v>1193.2773109243699</v>
      </c>
      <c r="G178" s="2">
        <v>1420</v>
      </c>
      <c r="H178" s="1">
        <f t="shared" si="10"/>
        <v>1151.2605042016808</v>
      </c>
      <c r="I178" s="2">
        <v>1370</v>
      </c>
      <c r="J178" s="18" t="s">
        <v>34</v>
      </c>
      <c r="K178" s="16">
        <v>45328</v>
      </c>
      <c r="L178" s="18">
        <v>20</v>
      </c>
    </row>
    <row r="179" spans="1:13" x14ac:dyDescent="0.2">
      <c r="A179" s="9">
        <v>8696630133090</v>
      </c>
      <c r="B179" s="12" t="s">
        <v>345</v>
      </c>
      <c r="C179" s="13">
        <v>12</v>
      </c>
      <c r="D179" s="14" t="s">
        <v>50</v>
      </c>
      <c r="E179" s="2">
        <v>706</v>
      </c>
      <c r="F179" s="1">
        <f t="shared" si="9"/>
        <v>924.36974789915973</v>
      </c>
      <c r="G179" s="2">
        <v>1100</v>
      </c>
      <c r="H179" s="1">
        <f t="shared" si="10"/>
        <v>882.35294117647061</v>
      </c>
      <c r="I179" s="2">
        <v>1050</v>
      </c>
      <c r="J179" s="18" t="s">
        <v>20</v>
      </c>
      <c r="K179" s="16">
        <v>44558</v>
      </c>
      <c r="L179" s="18">
        <v>15</v>
      </c>
    </row>
    <row r="180" spans="1:13" x14ac:dyDescent="0.2">
      <c r="A180" s="39">
        <v>8696630133021</v>
      </c>
      <c r="B180" s="33" t="s">
        <v>346</v>
      </c>
      <c r="C180" s="34">
        <v>12</v>
      </c>
      <c r="D180" s="35" t="s">
        <v>50</v>
      </c>
      <c r="E180" s="4">
        <v>706</v>
      </c>
      <c r="F180" s="1">
        <f t="shared" si="9"/>
        <v>924.36974789915973</v>
      </c>
      <c r="G180" s="2">
        <v>1100</v>
      </c>
      <c r="H180" s="1">
        <f t="shared" si="10"/>
        <v>882.35294117647061</v>
      </c>
      <c r="I180" s="2">
        <v>1050</v>
      </c>
      <c r="J180" s="36" t="s">
        <v>20</v>
      </c>
      <c r="K180" s="37">
        <v>44558</v>
      </c>
      <c r="L180" s="18">
        <v>40</v>
      </c>
    </row>
    <row r="181" spans="1:13" x14ac:dyDescent="0.2">
      <c r="A181" s="32">
        <v>7805040000620</v>
      </c>
      <c r="B181" s="33" t="s">
        <v>350</v>
      </c>
      <c r="C181" s="34">
        <v>12</v>
      </c>
      <c r="D181" s="35" t="s">
        <v>50</v>
      </c>
      <c r="E181" s="4">
        <f>9979/12</f>
        <v>831.58333333333337</v>
      </c>
      <c r="F181" s="1">
        <f t="shared" si="9"/>
        <v>1193.2773109243699</v>
      </c>
      <c r="G181" s="2">
        <v>1420</v>
      </c>
      <c r="H181" s="1">
        <f t="shared" si="10"/>
        <v>1151.2605042016808</v>
      </c>
      <c r="I181" s="2">
        <v>1370</v>
      </c>
      <c r="J181" s="36" t="s">
        <v>34</v>
      </c>
      <c r="K181" s="37">
        <v>45328</v>
      </c>
      <c r="L181" s="18">
        <v>6</v>
      </c>
    </row>
    <row r="182" spans="1:13" x14ac:dyDescent="0.2">
      <c r="A182" s="8">
        <v>7808304316796</v>
      </c>
      <c r="B182" s="12" t="s">
        <v>610</v>
      </c>
      <c r="C182" s="13">
        <v>1</v>
      </c>
      <c r="D182" s="14" t="s">
        <v>50</v>
      </c>
      <c r="E182" s="21">
        <v>489</v>
      </c>
      <c r="F182" s="1">
        <f t="shared" si="9"/>
        <v>705.88235294117646</v>
      </c>
      <c r="G182" s="21">
        <v>840</v>
      </c>
      <c r="H182" s="1">
        <f t="shared" si="10"/>
        <v>680.67226890756308</v>
      </c>
      <c r="I182" s="21">
        <v>810</v>
      </c>
      <c r="J182" s="18" t="s">
        <v>547</v>
      </c>
      <c r="K182" s="16">
        <v>45391</v>
      </c>
      <c r="L182" s="18">
        <v>8</v>
      </c>
    </row>
    <row r="183" spans="1:13" s="18" customFormat="1" x14ac:dyDescent="0.2">
      <c r="A183" s="8">
        <v>7808304316772</v>
      </c>
      <c r="B183" s="12" t="s">
        <v>608</v>
      </c>
      <c r="C183" s="13">
        <v>1</v>
      </c>
      <c r="D183" s="14" t="s">
        <v>50</v>
      </c>
      <c r="E183" s="21">
        <v>489</v>
      </c>
      <c r="F183" s="1">
        <f t="shared" si="9"/>
        <v>705.88235294117646</v>
      </c>
      <c r="G183" s="21">
        <v>840</v>
      </c>
      <c r="H183" s="1">
        <f t="shared" si="10"/>
        <v>680.67226890756308</v>
      </c>
      <c r="I183" s="21">
        <v>810</v>
      </c>
      <c r="J183" s="18" t="s">
        <v>547</v>
      </c>
      <c r="K183" s="16">
        <v>45391</v>
      </c>
      <c r="L183" s="18">
        <v>11</v>
      </c>
      <c r="M183" s="40"/>
    </row>
    <row r="184" spans="1:13" x14ac:dyDescent="0.2">
      <c r="A184" s="8">
        <v>7808304316802</v>
      </c>
      <c r="B184" s="12" t="s">
        <v>609</v>
      </c>
      <c r="C184" s="13">
        <v>1</v>
      </c>
      <c r="D184" s="14" t="s">
        <v>50</v>
      </c>
      <c r="E184" s="21">
        <v>489</v>
      </c>
      <c r="F184" s="1">
        <f t="shared" si="9"/>
        <v>705.88235294117646</v>
      </c>
      <c r="G184" s="21">
        <v>840</v>
      </c>
      <c r="H184" s="1">
        <f t="shared" si="10"/>
        <v>680.67226890756308</v>
      </c>
      <c r="I184" s="21">
        <v>810</v>
      </c>
      <c r="J184" s="18" t="s">
        <v>547</v>
      </c>
      <c r="K184" s="16">
        <v>45391</v>
      </c>
      <c r="L184" s="18">
        <v>6</v>
      </c>
    </row>
    <row r="185" spans="1:13" x14ac:dyDescent="0.2">
      <c r="A185" s="8">
        <v>7808304316789</v>
      </c>
      <c r="B185" s="12" t="s">
        <v>611</v>
      </c>
      <c r="C185" s="13">
        <v>1</v>
      </c>
      <c r="D185" s="14" t="s">
        <v>50</v>
      </c>
      <c r="E185" s="21">
        <v>489</v>
      </c>
      <c r="F185" s="1">
        <f t="shared" si="9"/>
        <v>705.88235294117646</v>
      </c>
      <c r="G185" s="21">
        <v>840</v>
      </c>
      <c r="H185" s="1">
        <f t="shared" si="10"/>
        <v>680.67226890756308</v>
      </c>
      <c r="I185" s="21">
        <v>810</v>
      </c>
      <c r="J185" s="18" t="s">
        <v>547</v>
      </c>
      <c r="K185" s="16">
        <v>45391</v>
      </c>
      <c r="L185" s="18">
        <v>12</v>
      </c>
    </row>
    <row r="186" spans="1:13" x14ac:dyDescent="0.2">
      <c r="A186" s="22">
        <v>7702166046023</v>
      </c>
      <c r="B186" s="12" t="s">
        <v>191</v>
      </c>
      <c r="C186" s="13">
        <v>20</v>
      </c>
      <c r="D186" s="14" t="s">
        <v>50</v>
      </c>
      <c r="E186" s="2">
        <f>24000/20</f>
        <v>1200</v>
      </c>
      <c r="F186" s="1">
        <f t="shared" si="9"/>
        <v>1512.6050420168067</v>
      </c>
      <c r="G186" s="2">
        <v>1800</v>
      </c>
      <c r="H186" s="1">
        <f t="shared" si="10"/>
        <v>1453.7815126050421</v>
      </c>
      <c r="I186" s="2">
        <v>1730</v>
      </c>
      <c r="J186" s="18" t="s">
        <v>15</v>
      </c>
      <c r="K186" s="16">
        <v>44463</v>
      </c>
      <c r="L186" s="18">
        <v>32</v>
      </c>
    </row>
    <row r="187" spans="1:13" x14ac:dyDescent="0.2">
      <c r="A187" s="22">
        <v>7702166046085</v>
      </c>
      <c r="B187" s="12" t="s">
        <v>193</v>
      </c>
      <c r="C187" s="13">
        <v>24</v>
      </c>
      <c r="D187" s="14" t="s">
        <v>50</v>
      </c>
      <c r="E187" s="2">
        <f>13248/24</f>
        <v>552</v>
      </c>
      <c r="F187" s="1">
        <f t="shared" si="9"/>
        <v>697.47899159663871</v>
      </c>
      <c r="G187" s="2">
        <v>830</v>
      </c>
      <c r="H187" s="1">
        <f t="shared" si="10"/>
        <v>672.26890756302521</v>
      </c>
      <c r="I187" s="2">
        <v>800</v>
      </c>
      <c r="J187" s="18" t="s">
        <v>15</v>
      </c>
      <c r="K187" s="16">
        <v>44392</v>
      </c>
      <c r="L187" s="18">
        <v>54</v>
      </c>
    </row>
    <row r="188" spans="1:13" x14ac:dyDescent="0.2">
      <c r="A188" s="22">
        <v>7702166046016</v>
      </c>
      <c r="B188" s="12" t="s">
        <v>192</v>
      </c>
      <c r="C188" s="13">
        <v>36</v>
      </c>
      <c r="D188" s="14" t="s">
        <v>50</v>
      </c>
      <c r="E188" s="2">
        <f>10296/36</f>
        <v>286</v>
      </c>
      <c r="F188" s="1">
        <f t="shared" si="9"/>
        <v>344.53781512605042</v>
      </c>
      <c r="G188" s="2">
        <v>410</v>
      </c>
      <c r="H188" s="1">
        <f t="shared" si="10"/>
        <v>336.1344537815126</v>
      </c>
      <c r="I188" s="2">
        <v>400</v>
      </c>
      <c r="J188" s="18" t="s">
        <v>15</v>
      </c>
      <c r="K188" s="16">
        <v>44841</v>
      </c>
      <c r="L188" s="18">
        <v>810</v>
      </c>
    </row>
    <row r="189" spans="1:13" x14ac:dyDescent="0.2">
      <c r="A189" s="22">
        <v>7702166047020</v>
      </c>
      <c r="B189" s="12" t="s">
        <v>194</v>
      </c>
      <c r="C189" s="13">
        <v>20</v>
      </c>
      <c r="D189" s="14" t="s">
        <v>50</v>
      </c>
      <c r="E189" s="2">
        <f>24000/20</f>
        <v>1200</v>
      </c>
      <c r="F189" s="1">
        <f t="shared" si="9"/>
        <v>1512.6050420168067</v>
      </c>
      <c r="G189" s="2">
        <v>1800</v>
      </c>
      <c r="H189" s="1">
        <f t="shared" si="10"/>
        <v>1453.7815126050421</v>
      </c>
      <c r="I189" s="2">
        <v>1730</v>
      </c>
      <c r="J189" s="18" t="s">
        <v>15</v>
      </c>
      <c r="K189" s="16">
        <v>44463</v>
      </c>
      <c r="L189" s="18">
        <v>20</v>
      </c>
    </row>
    <row r="190" spans="1:13" x14ac:dyDescent="0.2">
      <c r="A190" s="22">
        <v>7702166047082</v>
      </c>
      <c r="B190" s="12" t="s">
        <v>196</v>
      </c>
      <c r="C190" s="13">
        <v>24</v>
      </c>
      <c r="D190" s="14" t="s">
        <v>50</v>
      </c>
      <c r="E190" s="2">
        <f>13248/24</f>
        <v>552</v>
      </c>
      <c r="F190" s="1">
        <f t="shared" si="9"/>
        <v>697.47899159663871</v>
      </c>
      <c r="G190" s="2">
        <v>830</v>
      </c>
      <c r="H190" s="1">
        <f t="shared" si="10"/>
        <v>672.26890756302521</v>
      </c>
      <c r="I190" s="2">
        <v>800</v>
      </c>
      <c r="J190" s="18" t="s">
        <v>15</v>
      </c>
      <c r="K190" s="16">
        <v>44392</v>
      </c>
      <c r="L190" s="18">
        <v>471</v>
      </c>
    </row>
    <row r="191" spans="1:13" x14ac:dyDescent="0.2">
      <c r="A191" s="22">
        <v>7702166047013</v>
      </c>
      <c r="B191" s="12" t="s">
        <v>195</v>
      </c>
      <c r="C191" s="13">
        <v>36</v>
      </c>
      <c r="D191" s="14" t="s">
        <v>50</v>
      </c>
      <c r="E191" s="2">
        <f>10296/36</f>
        <v>286</v>
      </c>
      <c r="F191" s="1">
        <f t="shared" si="9"/>
        <v>344.53781512605042</v>
      </c>
      <c r="G191" s="2">
        <v>410</v>
      </c>
      <c r="H191" s="1">
        <f t="shared" si="10"/>
        <v>336.1344537815126</v>
      </c>
      <c r="I191" s="2">
        <v>400</v>
      </c>
      <c r="J191" s="18" t="s">
        <v>15</v>
      </c>
      <c r="K191" s="16">
        <v>44841</v>
      </c>
      <c r="L191" s="18">
        <v>2451</v>
      </c>
    </row>
    <row r="192" spans="1:13" x14ac:dyDescent="0.2">
      <c r="A192" s="22">
        <v>7702166036031</v>
      </c>
      <c r="B192" s="12" t="s">
        <v>197</v>
      </c>
      <c r="C192" s="13">
        <v>20</v>
      </c>
      <c r="D192" s="14" t="s">
        <v>50</v>
      </c>
      <c r="E192" s="2">
        <f>24000/20</f>
        <v>1200</v>
      </c>
      <c r="F192" s="1">
        <f t="shared" si="9"/>
        <v>1512.6050420168067</v>
      </c>
      <c r="G192" s="2">
        <v>1800</v>
      </c>
      <c r="H192" s="1">
        <f t="shared" si="10"/>
        <v>1453.7815126050421</v>
      </c>
      <c r="I192" s="2">
        <v>1730</v>
      </c>
      <c r="J192" s="18" t="s">
        <v>15</v>
      </c>
      <c r="K192" s="16">
        <v>44463</v>
      </c>
      <c r="L192" s="18">
        <v>23</v>
      </c>
    </row>
    <row r="193" spans="1:12" x14ac:dyDescent="0.2">
      <c r="A193" s="22">
        <v>7702166036093</v>
      </c>
      <c r="B193" s="12" t="s">
        <v>199</v>
      </c>
      <c r="C193" s="13">
        <v>24</v>
      </c>
      <c r="D193" s="14" t="s">
        <v>50</v>
      </c>
      <c r="E193" s="2">
        <f>13248/24</f>
        <v>552</v>
      </c>
      <c r="F193" s="1">
        <f t="shared" si="9"/>
        <v>697.47899159663871</v>
      </c>
      <c r="G193" s="2">
        <v>830</v>
      </c>
      <c r="H193" s="1">
        <f t="shared" si="10"/>
        <v>672.26890756302521</v>
      </c>
      <c r="I193" s="2">
        <v>800</v>
      </c>
      <c r="J193" s="18" t="s">
        <v>15</v>
      </c>
      <c r="K193" s="16">
        <v>44392</v>
      </c>
      <c r="L193" s="18">
        <v>36</v>
      </c>
    </row>
    <row r="194" spans="1:12" x14ac:dyDescent="0.2">
      <c r="A194" s="22">
        <v>7702166036024</v>
      </c>
      <c r="B194" s="12" t="s">
        <v>198</v>
      </c>
      <c r="C194" s="13">
        <v>36</v>
      </c>
      <c r="D194" s="14" t="s">
        <v>50</v>
      </c>
      <c r="E194" s="2">
        <f>10296/36</f>
        <v>286</v>
      </c>
      <c r="F194" s="1">
        <f t="shared" si="9"/>
        <v>344.53781512605042</v>
      </c>
      <c r="G194" s="2">
        <v>410</v>
      </c>
      <c r="H194" s="1">
        <f t="shared" si="10"/>
        <v>336.1344537815126</v>
      </c>
      <c r="I194" s="2">
        <v>400</v>
      </c>
      <c r="J194" s="18" t="s">
        <v>15</v>
      </c>
      <c r="K194" s="16">
        <v>44841</v>
      </c>
      <c r="L194" s="18">
        <v>1531</v>
      </c>
    </row>
    <row r="195" spans="1:12" x14ac:dyDescent="0.2">
      <c r="A195" s="22">
        <v>7804920004130</v>
      </c>
      <c r="B195" s="12" t="s">
        <v>743</v>
      </c>
      <c r="C195" s="13">
        <v>8</v>
      </c>
      <c r="D195" s="14" t="s">
        <v>50</v>
      </c>
      <c r="E195" s="2">
        <v>350</v>
      </c>
      <c r="F195" s="1">
        <f t="shared" ref="F195:F258" si="11">G195/1.19</f>
        <v>714.28571428571433</v>
      </c>
      <c r="G195" s="2">
        <v>850</v>
      </c>
      <c r="H195" s="1">
        <f t="shared" ref="H195:H258" si="12">I195/1.19</f>
        <v>672.26890756302521</v>
      </c>
      <c r="I195" s="2">
        <v>800</v>
      </c>
      <c r="J195" s="18" t="s">
        <v>474</v>
      </c>
      <c r="K195" s="16">
        <v>45078</v>
      </c>
      <c r="L195" s="18">
        <v>304</v>
      </c>
    </row>
    <row r="196" spans="1:12" x14ac:dyDescent="0.2">
      <c r="A196" s="8">
        <v>7805040005380</v>
      </c>
      <c r="B196" s="20" t="s">
        <v>454</v>
      </c>
      <c r="C196" s="13">
        <v>12</v>
      </c>
      <c r="D196" s="14" t="s">
        <v>50</v>
      </c>
      <c r="E196" s="2">
        <f>22594/12</f>
        <v>1882.8333333333333</v>
      </c>
      <c r="F196" s="1">
        <f t="shared" si="11"/>
        <v>2394.9579831932774</v>
      </c>
      <c r="G196" s="2">
        <v>2850</v>
      </c>
      <c r="H196" s="1">
        <f t="shared" si="12"/>
        <v>2310.9243697478992</v>
      </c>
      <c r="I196" s="2">
        <v>2750</v>
      </c>
      <c r="J196" s="18" t="s">
        <v>34</v>
      </c>
      <c r="K196" s="16">
        <v>45078</v>
      </c>
      <c r="L196" s="18">
        <v>106</v>
      </c>
    </row>
    <row r="197" spans="1:12" x14ac:dyDescent="0.2">
      <c r="A197" s="38">
        <v>753153683513</v>
      </c>
      <c r="B197" s="20" t="s">
        <v>430</v>
      </c>
      <c r="C197" s="13">
        <v>1</v>
      </c>
      <c r="D197" s="14" t="s">
        <v>50</v>
      </c>
      <c r="E197" s="2">
        <v>930</v>
      </c>
      <c r="F197" s="1">
        <f t="shared" si="11"/>
        <v>1470.5882352941178</v>
      </c>
      <c r="G197" s="2">
        <v>1750</v>
      </c>
      <c r="H197" s="1">
        <f t="shared" si="12"/>
        <v>1470.5882352941178</v>
      </c>
      <c r="I197" s="2">
        <v>1750</v>
      </c>
      <c r="J197" s="18" t="s">
        <v>21</v>
      </c>
      <c r="K197" s="16">
        <v>44573</v>
      </c>
      <c r="L197" s="18">
        <v>50</v>
      </c>
    </row>
    <row r="198" spans="1:12" x14ac:dyDescent="0.2">
      <c r="A198" s="38">
        <v>753153683520</v>
      </c>
      <c r="B198" s="20" t="s">
        <v>431</v>
      </c>
      <c r="C198" s="13">
        <v>1</v>
      </c>
      <c r="D198" s="14" t="s">
        <v>50</v>
      </c>
      <c r="E198" s="2">
        <v>930</v>
      </c>
      <c r="F198" s="1">
        <f t="shared" si="11"/>
        <v>1470.5882352941178</v>
      </c>
      <c r="G198" s="2">
        <v>1750</v>
      </c>
      <c r="H198" s="1">
        <f t="shared" si="12"/>
        <v>1470.5882352941178</v>
      </c>
      <c r="I198" s="2">
        <v>1750</v>
      </c>
      <c r="J198" s="18" t="s">
        <v>21</v>
      </c>
      <c r="K198" s="16">
        <v>44573</v>
      </c>
      <c r="L198" s="18">
        <v>1</v>
      </c>
    </row>
    <row r="199" spans="1:12" x14ac:dyDescent="0.2">
      <c r="A199" s="22">
        <v>8696630137456</v>
      </c>
      <c r="B199" s="12" t="s">
        <v>701</v>
      </c>
      <c r="C199" s="13">
        <v>1</v>
      </c>
      <c r="D199" s="14" t="s">
        <v>50</v>
      </c>
      <c r="E199" s="2">
        <v>2025</v>
      </c>
      <c r="F199" s="1">
        <f t="shared" si="11"/>
        <v>2899.1596638655465</v>
      </c>
      <c r="G199" s="2">
        <v>3450</v>
      </c>
      <c r="H199" s="1">
        <f t="shared" si="12"/>
        <v>2781.5126050420167</v>
      </c>
      <c r="I199" s="2">
        <v>3310</v>
      </c>
      <c r="J199" s="18" t="s">
        <v>20</v>
      </c>
      <c r="K199" s="16">
        <v>45503</v>
      </c>
      <c r="L199" s="18">
        <v>12</v>
      </c>
    </row>
    <row r="200" spans="1:12" x14ac:dyDescent="0.2">
      <c r="A200" s="22">
        <v>8696630137432</v>
      </c>
      <c r="B200" s="12" t="s">
        <v>700</v>
      </c>
      <c r="C200" s="13">
        <v>1</v>
      </c>
      <c r="D200" s="14" t="s">
        <v>50</v>
      </c>
      <c r="E200" s="2">
        <v>2025</v>
      </c>
      <c r="F200" s="1">
        <f t="shared" si="11"/>
        <v>2899.1596638655465</v>
      </c>
      <c r="G200" s="2">
        <v>3450</v>
      </c>
      <c r="H200" s="1">
        <f t="shared" si="12"/>
        <v>2781.5126050420167</v>
      </c>
      <c r="I200" s="2">
        <v>3310</v>
      </c>
      <c r="J200" s="18" t="s">
        <v>20</v>
      </c>
      <c r="K200" s="16">
        <v>45503</v>
      </c>
      <c r="L200" s="18">
        <v>12</v>
      </c>
    </row>
    <row r="201" spans="1:12" x14ac:dyDescent="0.2">
      <c r="A201" s="22">
        <v>8696630137449</v>
      </c>
      <c r="B201" s="12" t="s">
        <v>702</v>
      </c>
      <c r="C201" s="13">
        <v>1</v>
      </c>
      <c r="D201" s="14" t="s">
        <v>50</v>
      </c>
      <c r="E201" s="2">
        <v>2025</v>
      </c>
      <c r="F201" s="1">
        <f t="shared" si="11"/>
        <v>2899.1596638655465</v>
      </c>
      <c r="G201" s="2">
        <v>3450</v>
      </c>
      <c r="H201" s="1">
        <f t="shared" si="12"/>
        <v>2781.5126050420167</v>
      </c>
      <c r="I201" s="2">
        <v>3310</v>
      </c>
      <c r="J201" s="18" t="s">
        <v>20</v>
      </c>
      <c r="K201" s="16">
        <v>45503</v>
      </c>
      <c r="L201" s="18">
        <v>12</v>
      </c>
    </row>
    <row r="202" spans="1:12" x14ac:dyDescent="0.2">
      <c r="A202" s="38">
        <v>7800004261512</v>
      </c>
      <c r="B202" s="12" t="s">
        <v>200</v>
      </c>
      <c r="C202" s="13">
        <v>60</v>
      </c>
      <c r="D202" s="14" t="s">
        <v>50</v>
      </c>
      <c r="E202" s="1">
        <f>4700/60</f>
        <v>78.333333333333329</v>
      </c>
      <c r="F202" s="1">
        <f t="shared" si="11"/>
        <v>168.0672268907563</v>
      </c>
      <c r="G202" s="1">
        <v>200</v>
      </c>
      <c r="H202" s="1">
        <f t="shared" si="12"/>
        <v>159.66386554621849</v>
      </c>
      <c r="I202" s="1">
        <v>190</v>
      </c>
      <c r="J202" s="18" t="s">
        <v>114</v>
      </c>
      <c r="K202" s="16">
        <v>44769</v>
      </c>
      <c r="L202" s="18">
        <v>300</v>
      </c>
    </row>
    <row r="203" spans="1:12" x14ac:dyDescent="0.2">
      <c r="A203" s="8" t="s">
        <v>791</v>
      </c>
      <c r="B203" s="20" t="s">
        <v>737</v>
      </c>
      <c r="C203" s="13">
        <v>100</v>
      </c>
      <c r="D203" s="14" t="s">
        <v>50</v>
      </c>
      <c r="E203" s="2">
        <v>900</v>
      </c>
      <c r="F203" s="1">
        <f t="shared" si="11"/>
        <v>1680.6722689075632</v>
      </c>
      <c r="G203" s="2">
        <v>2000</v>
      </c>
      <c r="H203" s="1">
        <f t="shared" si="12"/>
        <v>1680.6722689075632</v>
      </c>
      <c r="I203" s="2">
        <v>2000</v>
      </c>
      <c r="J203" s="18" t="s">
        <v>353</v>
      </c>
      <c r="K203" s="16">
        <v>45455</v>
      </c>
      <c r="L203" s="17">
        <v>10</v>
      </c>
    </row>
    <row r="204" spans="1:12" x14ac:dyDescent="0.2">
      <c r="A204" s="8">
        <v>7590002008898</v>
      </c>
      <c r="B204" s="20" t="s">
        <v>663</v>
      </c>
      <c r="C204" s="13">
        <v>24</v>
      </c>
      <c r="D204" s="14" t="s">
        <v>50</v>
      </c>
      <c r="E204" s="2">
        <f>3587/1.19</f>
        <v>3014.2857142857142</v>
      </c>
      <c r="F204" s="1">
        <f t="shared" si="11"/>
        <v>4025.2100840336138</v>
      </c>
      <c r="G204" s="2">
        <v>4790</v>
      </c>
      <c r="H204" s="1">
        <f t="shared" si="12"/>
        <v>3873.9495798319331</v>
      </c>
      <c r="I204" s="2">
        <v>4610</v>
      </c>
      <c r="J204" s="18" t="s">
        <v>547</v>
      </c>
      <c r="K204" s="16">
        <v>45455</v>
      </c>
      <c r="L204" s="18">
        <v>22</v>
      </c>
    </row>
    <row r="205" spans="1:12" x14ac:dyDescent="0.2">
      <c r="A205" s="8">
        <v>7891150050488</v>
      </c>
      <c r="B205" s="20" t="s">
        <v>635</v>
      </c>
      <c r="C205" s="13">
        <v>12</v>
      </c>
      <c r="D205" s="14" t="s">
        <v>50</v>
      </c>
      <c r="E205" s="2">
        <f>16034/12</f>
        <v>1336.1666666666667</v>
      </c>
      <c r="F205" s="1">
        <f t="shared" si="11"/>
        <v>1915.966386554622</v>
      </c>
      <c r="G205" s="2">
        <v>2280</v>
      </c>
      <c r="H205" s="1">
        <f t="shared" si="12"/>
        <v>1840.3361344537816</v>
      </c>
      <c r="I205" s="2">
        <v>2190</v>
      </c>
      <c r="J205" s="18" t="s">
        <v>35</v>
      </c>
      <c r="K205" s="16">
        <v>45427</v>
      </c>
      <c r="L205" s="18">
        <v>12</v>
      </c>
    </row>
    <row r="206" spans="1:12" x14ac:dyDescent="0.2">
      <c r="A206" s="8">
        <v>7891150055223</v>
      </c>
      <c r="B206" s="20" t="s">
        <v>553</v>
      </c>
      <c r="C206" s="13">
        <v>12</v>
      </c>
      <c r="D206" s="14" t="s">
        <v>50</v>
      </c>
      <c r="E206" s="2">
        <f>15025/12</f>
        <v>1252.0833333333333</v>
      </c>
      <c r="F206" s="1">
        <f t="shared" si="11"/>
        <v>1915.966386554622</v>
      </c>
      <c r="G206" s="2">
        <v>2280</v>
      </c>
      <c r="H206" s="1">
        <f t="shared" si="12"/>
        <v>1840.3361344537816</v>
      </c>
      <c r="I206" s="2">
        <v>2190</v>
      </c>
      <c r="J206" s="18" t="s">
        <v>35</v>
      </c>
      <c r="K206" s="16">
        <v>45314</v>
      </c>
      <c r="L206" s="18">
        <v>2</v>
      </c>
    </row>
    <row r="207" spans="1:12" x14ac:dyDescent="0.2">
      <c r="A207" s="8">
        <v>7891150017368</v>
      </c>
      <c r="B207" s="20" t="s">
        <v>554</v>
      </c>
      <c r="C207" s="13">
        <v>12</v>
      </c>
      <c r="D207" s="14" t="s">
        <v>50</v>
      </c>
      <c r="E207" s="2">
        <f>16034/12</f>
        <v>1336.1666666666667</v>
      </c>
      <c r="F207" s="1">
        <f t="shared" si="11"/>
        <v>1915.966386554622</v>
      </c>
      <c r="G207" s="2">
        <v>2280</v>
      </c>
      <c r="H207" s="1">
        <f t="shared" si="12"/>
        <v>1840.3361344537816</v>
      </c>
      <c r="I207" s="2">
        <v>2190</v>
      </c>
      <c r="J207" s="18" t="s">
        <v>35</v>
      </c>
      <c r="K207" s="16">
        <v>45427</v>
      </c>
      <c r="L207" s="18">
        <v>28</v>
      </c>
    </row>
    <row r="208" spans="1:12" x14ac:dyDescent="0.2">
      <c r="A208" s="8">
        <v>7791293005010</v>
      </c>
      <c r="B208" s="20" t="s">
        <v>552</v>
      </c>
      <c r="C208" s="13">
        <v>12</v>
      </c>
      <c r="D208" s="14" t="s">
        <v>50</v>
      </c>
      <c r="E208" s="2">
        <f>16034/12</f>
        <v>1336.1666666666667</v>
      </c>
      <c r="F208" s="1">
        <f t="shared" si="11"/>
        <v>1915.966386554622</v>
      </c>
      <c r="G208" s="2">
        <v>2280</v>
      </c>
      <c r="H208" s="1">
        <f t="shared" si="12"/>
        <v>1840.3361344537816</v>
      </c>
      <c r="I208" s="2">
        <v>2190</v>
      </c>
      <c r="J208" s="18" t="s">
        <v>35</v>
      </c>
      <c r="K208" s="16">
        <v>45427</v>
      </c>
      <c r="L208" s="18">
        <v>15</v>
      </c>
    </row>
    <row r="209" spans="1:12" x14ac:dyDescent="0.2">
      <c r="A209" s="22">
        <v>7801305004167</v>
      </c>
      <c r="B209" s="12" t="s">
        <v>162</v>
      </c>
      <c r="C209" s="13">
        <v>16</v>
      </c>
      <c r="D209" s="14" t="s">
        <v>50</v>
      </c>
      <c r="E209" s="2">
        <f>(12000/1.19)/16</f>
        <v>630.2521008403362</v>
      </c>
      <c r="F209" s="1">
        <f t="shared" si="11"/>
        <v>798.31932773109247</v>
      </c>
      <c r="G209" s="2">
        <v>950</v>
      </c>
      <c r="H209" s="1">
        <f t="shared" si="12"/>
        <v>764.70588235294122</v>
      </c>
      <c r="I209" s="2">
        <v>910</v>
      </c>
      <c r="J209" s="18" t="s">
        <v>27</v>
      </c>
      <c r="K209" s="16">
        <v>45427</v>
      </c>
      <c r="L209" s="18">
        <v>22</v>
      </c>
    </row>
    <row r="210" spans="1:12" x14ac:dyDescent="0.2">
      <c r="A210" s="22">
        <v>7801800107912</v>
      </c>
      <c r="B210" s="12" t="s">
        <v>472</v>
      </c>
      <c r="C210" s="13">
        <v>24</v>
      </c>
      <c r="D210" s="14" t="s">
        <v>50</v>
      </c>
      <c r="E210" s="2">
        <v>587</v>
      </c>
      <c r="F210" s="1">
        <f t="shared" si="11"/>
        <v>1134.453781512605</v>
      </c>
      <c r="G210" s="2">
        <v>1350</v>
      </c>
      <c r="H210" s="1">
        <f t="shared" si="12"/>
        <v>1075.6302521008404</v>
      </c>
      <c r="I210" s="2">
        <v>1280</v>
      </c>
      <c r="J210" s="18" t="s">
        <v>353</v>
      </c>
      <c r="K210" s="16">
        <v>44818</v>
      </c>
      <c r="L210" s="18">
        <v>15</v>
      </c>
    </row>
    <row r="211" spans="1:12" x14ac:dyDescent="0.2">
      <c r="A211" s="8">
        <v>7802420006395</v>
      </c>
      <c r="B211" s="12" t="s">
        <v>356</v>
      </c>
      <c r="C211" s="13">
        <v>15</v>
      </c>
      <c r="D211" s="14" t="s">
        <v>50</v>
      </c>
      <c r="E211" s="2">
        <v>507</v>
      </c>
      <c r="F211" s="1">
        <f t="shared" si="11"/>
        <v>689.07563025210084</v>
      </c>
      <c r="G211" s="2">
        <v>820</v>
      </c>
      <c r="H211" s="1">
        <f t="shared" si="12"/>
        <v>655.46218487394958</v>
      </c>
      <c r="I211" s="2">
        <v>780</v>
      </c>
      <c r="J211" s="18" t="s">
        <v>24</v>
      </c>
      <c r="K211" s="16">
        <v>44900</v>
      </c>
      <c r="L211" s="18">
        <v>1</v>
      </c>
    </row>
    <row r="212" spans="1:12" x14ac:dyDescent="0.2">
      <c r="A212" s="8" t="s">
        <v>31</v>
      </c>
      <c r="B212" s="20" t="s">
        <v>127</v>
      </c>
      <c r="C212" s="13">
        <v>1</v>
      </c>
      <c r="D212" s="14" t="s">
        <v>50</v>
      </c>
      <c r="E212" s="2">
        <f>1170/1.19</f>
        <v>983.19327731092437</v>
      </c>
      <c r="F212" s="1">
        <f t="shared" si="11"/>
        <v>1411.7647058823529</v>
      </c>
      <c r="G212" s="2">
        <v>1680</v>
      </c>
      <c r="H212" s="1">
        <f t="shared" si="12"/>
        <v>1344.5378151260504</v>
      </c>
      <c r="I212" s="2">
        <v>1600</v>
      </c>
      <c r="J212" s="18" t="s">
        <v>19</v>
      </c>
      <c r="K212" s="16">
        <v>44229</v>
      </c>
      <c r="L212" s="18">
        <v>3</v>
      </c>
    </row>
    <row r="213" spans="1:12" x14ac:dyDescent="0.2">
      <c r="A213" s="8">
        <v>7805008000501</v>
      </c>
      <c r="B213" s="20" t="s">
        <v>128</v>
      </c>
      <c r="C213" s="13">
        <v>12</v>
      </c>
      <c r="D213" s="14" t="s">
        <v>50</v>
      </c>
      <c r="E213" s="2">
        <f>520/1.19</f>
        <v>436.97478991596643</v>
      </c>
      <c r="F213" s="1">
        <f t="shared" si="11"/>
        <v>739.49579831932772</v>
      </c>
      <c r="G213" s="2">
        <v>880</v>
      </c>
      <c r="H213" s="1">
        <f t="shared" si="12"/>
        <v>705.88235294117646</v>
      </c>
      <c r="I213" s="2">
        <v>840</v>
      </c>
      <c r="J213" s="18" t="s">
        <v>19</v>
      </c>
      <c r="K213" s="16">
        <v>45434</v>
      </c>
      <c r="L213" s="18">
        <v>12</v>
      </c>
    </row>
    <row r="214" spans="1:12" x14ac:dyDescent="0.2">
      <c r="A214" s="9" t="s">
        <v>43</v>
      </c>
      <c r="B214" s="12" t="s">
        <v>201</v>
      </c>
      <c r="C214" s="13">
        <v>25</v>
      </c>
      <c r="D214" s="14" t="s">
        <v>50</v>
      </c>
      <c r="E214" s="2">
        <v>210</v>
      </c>
      <c r="F214" s="1">
        <f t="shared" si="11"/>
        <v>378.15126050420167</v>
      </c>
      <c r="G214" s="2">
        <v>450</v>
      </c>
      <c r="H214" s="1">
        <f t="shared" si="12"/>
        <v>327.73109243697479</v>
      </c>
      <c r="I214" s="2">
        <v>390</v>
      </c>
      <c r="J214" s="18" t="s">
        <v>85</v>
      </c>
      <c r="K214" s="16">
        <v>45404</v>
      </c>
      <c r="L214" s="18">
        <v>108</v>
      </c>
    </row>
    <row r="215" spans="1:12" x14ac:dyDescent="0.2">
      <c r="A215" s="8">
        <v>7804612130499</v>
      </c>
      <c r="B215" s="12" t="s">
        <v>506</v>
      </c>
      <c r="C215" s="13">
        <v>12</v>
      </c>
      <c r="D215" s="14" t="s">
        <v>50</v>
      </c>
      <c r="E215" s="2">
        <f>9430/12</f>
        <v>785.83333333333337</v>
      </c>
      <c r="F215" s="1">
        <f t="shared" si="11"/>
        <v>2764.7058823529414</v>
      </c>
      <c r="G215" s="2">
        <v>3290</v>
      </c>
      <c r="H215" s="1">
        <f t="shared" si="12"/>
        <v>2605.0420168067226</v>
      </c>
      <c r="I215" s="2">
        <v>3100</v>
      </c>
      <c r="J215" s="18" t="s">
        <v>547</v>
      </c>
      <c r="K215" s="16">
        <v>45195</v>
      </c>
      <c r="L215" s="18">
        <v>6</v>
      </c>
    </row>
    <row r="216" spans="1:12" x14ac:dyDescent="0.2">
      <c r="A216" s="8">
        <v>6935071315149</v>
      </c>
      <c r="B216" s="20" t="s">
        <v>163</v>
      </c>
      <c r="C216" s="25">
        <v>25</v>
      </c>
      <c r="D216" s="14" t="s">
        <v>50</v>
      </c>
      <c r="E216" s="2">
        <f>109244/40</f>
        <v>2731.1</v>
      </c>
      <c r="F216" s="1">
        <f t="shared" si="11"/>
        <v>3420.1680672268908</v>
      </c>
      <c r="G216" s="2">
        <v>4070</v>
      </c>
      <c r="H216" s="1">
        <f t="shared" si="12"/>
        <v>3302.5210084033615</v>
      </c>
      <c r="I216" s="2">
        <v>3930</v>
      </c>
      <c r="J216" s="18" t="s">
        <v>38</v>
      </c>
      <c r="K216" s="16">
        <v>44826</v>
      </c>
      <c r="L216" s="18">
        <v>26</v>
      </c>
    </row>
    <row r="217" spans="1:12" x14ac:dyDescent="0.2">
      <c r="A217" s="22">
        <v>7809558101725</v>
      </c>
      <c r="B217" s="12" t="s">
        <v>202</v>
      </c>
      <c r="C217" s="13">
        <v>18</v>
      </c>
      <c r="D217" s="14" t="s">
        <v>50</v>
      </c>
      <c r="E217" s="2">
        <f>42353/24</f>
        <v>1764.7083333333333</v>
      </c>
      <c r="F217" s="1">
        <f t="shared" si="11"/>
        <v>2394.9579831932774</v>
      </c>
      <c r="G217" s="2">
        <v>2850</v>
      </c>
      <c r="H217" s="1">
        <f t="shared" si="12"/>
        <v>2327.7310924369749</v>
      </c>
      <c r="I217" s="2">
        <v>2770</v>
      </c>
      <c r="J217" s="15" t="s">
        <v>27</v>
      </c>
      <c r="K217" s="16">
        <v>45453</v>
      </c>
      <c r="L217" s="18">
        <v>3</v>
      </c>
    </row>
    <row r="218" spans="1:12" x14ac:dyDescent="0.2">
      <c r="A218" s="8">
        <v>7804670490290</v>
      </c>
      <c r="B218" s="12" t="s">
        <v>203</v>
      </c>
      <c r="C218" s="25">
        <v>24</v>
      </c>
      <c r="D218" s="14" t="s">
        <v>50</v>
      </c>
      <c r="E218" s="2">
        <f>29624/24</f>
        <v>1234.3333333333333</v>
      </c>
      <c r="F218" s="1">
        <f t="shared" si="11"/>
        <v>1655.4621848739496</v>
      </c>
      <c r="G218" s="2">
        <v>1970</v>
      </c>
      <c r="H218" s="1">
        <f t="shared" si="12"/>
        <v>1554.6218487394958</v>
      </c>
      <c r="I218" s="2">
        <v>1850</v>
      </c>
      <c r="J218" s="18" t="s">
        <v>36</v>
      </c>
      <c r="K218" s="16">
        <v>44627</v>
      </c>
      <c r="L218" s="18">
        <v>10</v>
      </c>
    </row>
    <row r="219" spans="1:12" x14ac:dyDescent="0.2">
      <c r="A219" s="8" t="s">
        <v>8</v>
      </c>
      <c r="B219" s="20" t="s">
        <v>204</v>
      </c>
      <c r="C219" s="13">
        <v>40</v>
      </c>
      <c r="D219" s="14" t="s">
        <v>50</v>
      </c>
      <c r="E219" s="2">
        <v>210</v>
      </c>
      <c r="F219" s="1">
        <f t="shared" si="11"/>
        <v>336.1344537815126</v>
      </c>
      <c r="G219" s="2">
        <v>400</v>
      </c>
      <c r="H219" s="1">
        <f t="shared" si="12"/>
        <v>268.9075630252101</v>
      </c>
      <c r="I219" s="2">
        <v>320</v>
      </c>
      <c r="J219" s="18" t="s">
        <v>85</v>
      </c>
      <c r="K219" s="16">
        <v>44833</v>
      </c>
      <c r="L219" s="18">
        <v>1425</v>
      </c>
    </row>
    <row r="220" spans="1:12" x14ac:dyDescent="0.2">
      <c r="A220" s="8" t="s">
        <v>56</v>
      </c>
      <c r="B220" s="20" t="s">
        <v>137</v>
      </c>
      <c r="C220" s="13">
        <v>1</v>
      </c>
      <c r="D220" s="14" t="s">
        <v>153</v>
      </c>
      <c r="E220" s="2">
        <f>650/1.19</f>
        <v>546.21848739495806</v>
      </c>
      <c r="F220" s="1">
        <f t="shared" si="11"/>
        <v>831.93277310924373</v>
      </c>
      <c r="G220" s="2">
        <v>990</v>
      </c>
      <c r="H220" s="1">
        <f t="shared" si="12"/>
        <v>773.10924369747897</v>
      </c>
      <c r="I220" s="2">
        <v>920</v>
      </c>
      <c r="J220" s="18" t="s">
        <v>19</v>
      </c>
      <c r="K220" s="16">
        <v>44743</v>
      </c>
      <c r="L220" s="18">
        <v>15</v>
      </c>
    </row>
    <row r="221" spans="1:12" x14ac:dyDescent="0.2">
      <c r="A221" s="22">
        <v>3894143695585</v>
      </c>
      <c r="B221" s="12" t="s">
        <v>205</v>
      </c>
      <c r="C221" s="13">
        <v>36</v>
      </c>
      <c r="D221" s="14" t="s">
        <v>50</v>
      </c>
      <c r="E221" s="2">
        <f>1882/1.19</f>
        <v>1581.512605042017</v>
      </c>
      <c r="F221" s="1">
        <f t="shared" si="11"/>
        <v>2268.90756302521</v>
      </c>
      <c r="G221" s="2">
        <v>2700</v>
      </c>
      <c r="H221" s="1">
        <f t="shared" si="12"/>
        <v>2176.4705882352941</v>
      </c>
      <c r="I221" s="2">
        <v>2590</v>
      </c>
      <c r="J221" s="18" t="s">
        <v>89</v>
      </c>
      <c r="K221" s="16">
        <v>45310</v>
      </c>
      <c r="L221" s="18">
        <v>3</v>
      </c>
    </row>
    <row r="222" spans="1:12" x14ac:dyDescent="0.2">
      <c r="A222" s="8">
        <v>3896110015624</v>
      </c>
      <c r="B222" s="20" t="s">
        <v>650</v>
      </c>
      <c r="C222" s="13">
        <v>24</v>
      </c>
      <c r="D222" s="14" t="s">
        <v>50</v>
      </c>
      <c r="E222" s="2">
        <v>890</v>
      </c>
      <c r="F222" s="1">
        <f t="shared" si="11"/>
        <v>1193.2773109243699</v>
      </c>
      <c r="G222" s="2">
        <v>1420</v>
      </c>
      <c r="H222" s="1">
        <f t="shared" si="12"/>
        <v>1134.453781512605</v>
      </c>
      <c r="I222" s="2">
        <v>1350</v>
      </c>
      <c r="J222" s="18" t="s">
        <v>89</v>
      </c>
      <c r="K222" s="16">
        <v>45429</v>
      </c>
      <c r="L222" s="18">
        <v>120</v>
      </c>
    </row>
    <row r="223" spans="1:12" x14ac:dyDescent="0.2">
      <c r="A223" s="9">
        <v>7897896878965</v>
      </c>
      <c r="B223" s="20" t="s">
        <v>129</v>
      </c>
      <c r="C223" s="13">
        <v>1</v>
      </c>
      <c r="D223" s="14" t="s">
        <v>50</v>
      </c>
      <c r="E223" s="2">
        <f>130/1.19</f>
        <v>109.24369747899161</v>
      </c>
      <c r="F223" s="1">
        <f t="shared" si="11"/>
        <v>168.0672268907563</v>
      </c>
      <c r="G223" s="2">
        <v>200</v>
      </c>
      <c r="H223" s="1">
        <f t="shared" si="12"/>
        <v>151.26050420168067</v>
      </c>
      <c r="I223" s="2">
        <v>180</v>
      </c>
      <c r="J223" s="18" t="s">
        <v>19</v>
      </c>
      <c r="K223" s="16">
        <v>45434</v>
      </c>
      <c r="L223" s="18">
        <v>20</v>
      </c>
    </row>
    <row r="224" spans="1:12" x14ac:dyDescent="0.2">
      <c r="A224" s="9">
        <v>6902023110268</v>
      </c>
      <c r="B224" s="12" t="s">
        <v>643</v>
      </c>
      <c r="C224" s="13">
        <v>1</v>
      </c>
      <c r="D224" s="14" t="s">
        <v>50</v>
      </c>
      <c r="E224" s="21">
        <v>1152</v>
      </c>
      <c r="F224" s="1">
        <f t="shared" si="11"/>
        <v>1655.4621848739496</v>
      </c>
      <c r="G224" s="21">
        <v>1970</v>
      </c>
      <c r="H224" s="1">
        <f t="shared" si="12"/>
        <v>1554.6218487394958</v>
      </c>
      <c r="I224" s="21">
        <v>1850</v>
      </c>
      <c r="J224" s="18" t="s">
        <v>599</v>
      </c>
      <c r="K224" s="16">
        <v>45372</v>
      </c>
      <c r="L224" s="18">
        <v>5</v>
      </c>
    </row>
    <row r="225" spans="1:12" x14ac:dyDescent="0.2">
      <c r="A225" s="8" t="s">
        <v>84</v>
      </c>
      <c r="B225" s="20" t="s">
        <v>130</v>
      </c>
      <c r="C225" s="13">
        <v>1</v>
      </c>
      <c r="D225" s="14" t="s">
        <v>50</v>
      </c>
      <c r="E225" s="2">
        <f>80/1.19</f>
        <v>67.226890756302524</v>
      </c>
      <c r="F225" s="1">
        <f t="shared" si="11"/>
        <v>126.05042016806723</v>
      </c>
      <c r="G225" s="2">
        <v>150</v>
      </c>
      <c r="H225" s="1">
        <f t="shared" si="12"/>
        <v>117.64705882352942</v>
      </c>
      <c r="I225" s="2">
        <v>140</v>
      </c>
      <c r="J225" s="18" t="s">
        <v>19</v>
      </c>
      <c r="K225" s="16">
        <v>44853</v>
      </c>
      <c r="L225" s="18">
        <v>50</v>
      </c>
    </row>
    <row r="226" spans="1:12" x14ac:dyDescent="0.2">
      <c r="A226" s="8">
        <v>3894143695783</v>
      </c>
      <c r="B226" s="12" t="s">
        <v>538</v>
      </c>
      <c r="C226" s="13">
        <v>3</v>
      </c>
      <c r="D226" s="14" t="s">
        <v>50</v>
      </c>
      <c r="E226" s="2">
        <f>790/1.19</f>
        <v>663.86554621848745</v>
      </c>
      <c r="F226" s="1">
        <f t="shared" si="11"/>
        <v>840.3361344537816</v>
      </c>
      <c r="G226" s="2">
        <v>1000</v>
      </c>
      <c r="H226" s="1">
        <f t="shared" si="12"/>
        <v>806.72268907563034</v>
      </c>
      <c r="I226" s="2">
        <v>960</v>
      </c>
      <c r="J226" s="18" t="s">
        <v>89</v>
      </c>
      <c r="K226" s="16">
        <v>45408</v>
      </c>
      <c r="L226" s="18">
        <v>26</v>
      </c>
    </row>
    <row r="227" spans="1:12" x14ac:dyDescent="0.2">
      <c r="A227" s="22">
        <v>3894143695493</v>
      </c>
      <c r="B227" s="12" t="s">
        <v>539</v>
      </c>
      <c r="C227" s="13">
        <v>3</v>
      </c>
      <c r="D227" s="14" t="s">
        <v>50</v>
      </c>
      <c r="E227" s="2">
        <f>790/1.19</f>
        <v>663.86554621848745</v>
      </c>
      <c r="F227" s="1">
        <f t="shared" si="11"/>
        <v>840.3361344537816</v>
      </c>
      <c r="G227" s="2">
        <v>1000</v>
      </c>
      <c r="H227" s="1">
        <f t="shared" si="12"/>
        <v>806.72268907563034</v>
      </c>
      <c r="I227" s="2">
        <v>960</v>
      </c>
      <c r="J227" s="18" t="s">
        <v>89</v>
      </c>
      <c r="K227" s="16">
        <v>45310</v>
      </c>
      <c r="L227" s="18">
        <v>207</v>
      </c>
    </row>
    <row r="228" spans="1:12" x14ac:dyDescent="0.2">
      <c r="A228" s="22">
        <v>3894143695189</v>
      </c>
      <c r="B228" s="12" t="s">
        <v>206</v>
      </c>
      <c r="C228" s="13">
        <v>50</v>
      </c>
      <c r="D228" s="14" t="s">
        <v>50</v>
      </c>
      <c r="E228" s="2">
        <f>671/1.19</f>
        <v>563.86554621848745</v>
      </c>
      <c r="F228" s="1">
        <f t="shared" si="11"/>
        <v>764.70588235294122</v>
      </c>
      <c r="G228" s="2">
        <v>910</v>
      </c>
      <c r="H228" s="1">
        <f t="shared" si="12"/>
        <v>714.28571428571433</v>
      </c>
      <c r="I228" s="2">
        <v>850</v>
      </c>
      <c r="J228" s="18" t="s">
        <v>89</v>
      </c>
      <c r="K228" s="16">
        <v>44712</v>
      </c>
      <c r="L228" s="18">
        <v>40</v>
      </c>
    </row>
    <row r="229" spans="1:12" x14ac:dyDescent="0.2">
      <c r="A229" s="8">
        <v>7808304316680</v>
      </c>
      <c r="B229" s="12" t="s">
        <v>517</v>
      </c>
      <c r="C229" s="13">
        <v>50</v>
      </c>
      <c r="D229" s="14" t="s">
        <v>50</v>
      </c>
      <c r="E229" s="2">
        <v>616</v>
      </c>
      <c r="F229" s="1">
        <f t="shared" si="11"/>
        <v>831.93277310924373</v>
      </c>
      <c r="G229" s="2">
        <v>990</v>
      </c>
      <c r="H229" s="1">
        <f t="shared" si="12"/>
        <v>798.31932773109247</v>
      </c>
      <c r="I229" s="2">
        <v>950</v>
      </c>
      <c r="J229" s="18" t="s">
        <v>547</v>
      </c>
      <c r="K229" s="16">
        <v>45243</v>
      </c>
      <c r="L229" s="18">
        <v>11</v>
      </c>
    </row>
    <row r="230" spans="1:12" x14ac:dyDescent="0.2">
      <c r="A230" s="8" t="s">
        <v>44</v>
      </c>
      <c r="B230" s="20" t="s">
        <v>131</v>
      </c>
      <c r="C230" s="13">
        <v>1</v>
      </c>
      <c r="D230" s="14" t="s">
        <v>50</v>
      </c>
      <c r="E230" s="2">
        <f>1250/1.19</f>
        <v>1050.420168067227</v>
      </c>
      <c r="F230" s="1">
        <f t="shared" si="11"/>
        <v>1512.6050420168067</v>
      </c>
      <c r="G230" s="2">
        <v>1800</v>
      </c>
      <c r="H230" s="1">
        <f t="shared" si="12"/>
        <v>1470.5882352941178</v>
      </c>
      <c r="I230" s="2">
        <v>1750</v>
      </c>
      <c r="J230" s="18" t="s">
        <v>19</v>
      </c>
      <c r="K230" s="16">
        <v>44606</v>
      </c>
      <c r="L230" s="18">
        <v>2</v>
      </c>
    </row>
    <row r="231" spans="1:12" x14ac:dyDescent="0.2">
      <c r="A231" s="8">
        <v>7804920004345</v>
      </c>
      <c r="B231" s="12" t="s">
        <v>402</v>
      </c>
      <c r="C231" s="13">
        <v>80</v>
      </c>
      <c r="D231" s="14" t="s">
        <v>50</v>
      </c>
      <c r="E231" s="1">
        <v>90</v>
      </c>
      <c r="F231" s="1">
        <f t="shared" si="11"/>
        <v>235.29411764705884</v>
      </c>
      <c r="G231" s="1">
        <v>280</v>
      </c>
      <c r="H231" s="1">
        <f t="shared" si="12"/>
        <v>218.48739495798321</v>
      </c>
      <c r="I231" s="1">
        <v>260</v>
      </c>
      <c r="J231" s="18" t="s">
        <v>474</v>
      </c>
      <c r="K231" s="16">
        <v>45342</v>
      </c>
      <c r="L231" s="18">
        <v>1600</v>
      </c>
    </row>
    <row r="232" spans="1:12" x14ac:dyDescent="0.2">
      <c r="A232" s="9">
        <v>7804920006271</v>
      </c>
      <c r="B232" s="12" t="s">
        <v>389</v>
      </c>
      <c r="C232" s="13">
        <v>4</v>
      </c>
      <c r="D232" s="14" t="s">
        <v>50</v>
      </c>
      <c r="E232" s="2">
        <v>1200</v>
      </c>
      <c r="F232" s="1">
        <f t="shared" si="11"/>
        <v>2521.0084033613448</v>
      </c>
      <c r="G232" s="2">
        <v>3000</v>
      </c>
      <c r="H232" s="1">
        <f t="shared" si="12"/>
        <v>2521.0084033613448</v>
      </c>
      <c r="I232" s="2">
        <v>3000</v>
      </c>
      <c r="J232" s="18" t="s">
        <v>474</v>
      </c>
      <c r="K232" s="16">
        <v>45342</v>
      </c>
      <c r="L232" s="18">
        <v>25</v>
      </c>
    </row>
    <row r="233" spans="1:12" x14ac:dyDescent="0.2">
      <c r="A233" s="8">
        <v>7804920001535</v>
      </c>
      <c r="B233" s="12" t="s">
        <v>390</v>
      </c>
      <c r="C233" s="13">
        <v>12</v>
      </c>
      <c r="D233" s="14" t="s">
        <v>50</v>
      </c>
      <c r="E233" s="1">
        <v>500</v>
      </c>
      <c r="F233" s="1">
        <f t="shared" si="11"/>
        <v>840.3361344537816</v>
      </c>
      <c r="G233" s="1">
        <v>1000</v>
      </c>
      <c r="H233" s="1">
        <f t="shared" si="12"/>
        <v>840.3361344537816</v>
      </c>
      <c r="I233" s="1">
        <v>1000</v>
      </c>
      <c r="J233" s="18" t="s">
        <v>474</v>
      </c>
      <c r="K233" s="16">
        <v>45342</v>
      </c>
      <c r="L233" s="18">
        <v>159</v>
      </c>
    </row>
    <row r="234" spans="1:12" x14ac:dyDescent="0.2">
      <c r="A234" s="8">
        <v>7804920005281</v>
      </c>
      <c r="B234" s="12" t="s">
        <v>391</v>
      </c>
      <c r="C234" s="13">
        <v>12</v>
      </c>
      <c r="D234" s="14" t="s">
        <v>50</v>
      </c>
      <c r="E234" s="1">
        <v>500</v>
      </c>
      <c r="F234" s="1">
        <f t="shared" si="11"/>
        <v>840.3361344537816</v>
      </c>
      <c r="G234" s="1">
        <v>1000</v>
      </c>
      <c r="H234" s="1">
        <f t="shared" si="12"/>
        <v>840.3361344537816</v>
      </c>
      <c r="I234" s="1">
        <v>1000</v>
      </c>
      <c r="J234" s="18" t="s">
        <v>474</v>
      </c>
      <c r="K234" s="16">
        <v>45342</v>
      </c>
      <c r="L234" s="18">
        <v>15</v>
      </c>
    </row>
    <row r="235" spans="1:12" x14ac:dyDescent="0.2">
      <c r="A235" s="8">
        <v>7804920008497</v>
      </c>
      <c r="B235" s="15" t="s">
        <v>480</v>
      </c>
      <c r="C235" s="8">
        <v>12</v>
      </c>
      <c r="D235" s="14" t="s">
        <v>50</v>
      </c>
      <c r="E235" s="1">
        <v>1500</v>
      </c>
      <c r="F235" s="1">
        <f t="shared" si="11"/>
        <v>2369.747899159664</v>
      </c>
      <c r="G235" s="1">
        <v>2820</v>
      </c>
      <c r="H235" s="1">
        <f t="shared" si="12"/>
        <v>2193.2773109243699</v>
      </c>
      <c r="I235" s="1">
        <v>2610</v>
      </c>
      <c r="J235" s="18" t="s">
        <v>474</v>
      </c>
      <c r="K235" s="16">
        <v>45342</v>
      </c>
      <c r="L235" s="18">
        <v>16</v>
      </c>
    </row>
    <row r="236" spans="1:12" x14ac:dyDescent="0.2">
      <c r="A236" s="22">
        <v>7804920280619</v>
      </c>
      <c r="B236" s="12" t="s">
        <v>744</v>
      </c>
      <c r="C236" s="13">
        <v>12</v>
      </c>
      <c r="D236" s="14" t="s">
        <v>50</v>
      </c>
      <c r="E236" s="2">
        <v>800</v>
      </c>
      <c r="F236" s="1">
        <f t="shared" si="11"/>
        <v>1025.2100840336134</v>
      </c>
      <c r="G236" s="2">
        <v>1220</v>
      </c>
      <c r="H236" s="1">
        <f t="shared" si="12"/>
        <v>949.57983193277312</v>
      </c>
      <c r="I236" s="2">
        <v>1130</v>
      </c>
      <c r="J236" s="18" t="s">
        <v>474</v>
      </c>
      <c r="K236" s="16">
        <v>45342</v>
      </c>
      <c r="L236" s="18">
        <v>127</v>
      </c>
    </row>
    <row r="237" spans="1:12" x14ac:dyDescent="0.2">
      <c r="A237" s="22">
        <v>7804920280879</v>
      </c>
      <c r="B237" s="12" t="s">
        <v>745</v>
      </c>
      <c r="C237" s="13">
        <v>12</v>
      </c>
      <c r="D237" s="14" t="s">
        <v>50</v>
      </c>
      <c r="E237" s="2">
        <v>800</v>
      </c>
      <c r="F237" s="1">
        <f t="shared" si="11"/>
        <v>1025.2100840336134</v>
      </c>
      <c r="G237" s="2">
        <v>1220</v>
      </c>
      <c r="H237" s="1">
        <f t="shared" si="12"/>
        <v>949.57983193277312</v>
      </c>
      <c r="I237" s="2">
        <v>1130</v>
      </c>
      <c r="J237" s="18" t="s">
        <v>474</v>
      </c>
      <c r="K237" s="16">
        <v>45342</v>
      </c>
      <c r="L237" s="18">
        <v>114</v>
      </c>
    </row>
    <row r="238" spans="1:12" x14ac:dyDescent="0.2">
      <c r="A238" s="8">
        <v>7804920007483</v>
      </c>
      <c r="B238" s="12" t="s">
        <v>397</v>
      </c>
      <c r="C238" s="13">
        <v>12</v>
      </c>
      <c r="D238" s="14" t="s">
        <v>50</v>
      </c>
      <c r="E238" s="1">
        <v>800</v>
      </c>
      <c r="F238" s="1">
        <f t="shared" si="11"/>
        <v>1008.4033613445379</v>
      </c>
      <c r="G238" s="1">
        <v>1200</v>
      </c>
      <c r="H238" s="1">
        <f t="shared" si="12"/>
        <v>1008.4033613445379</v>
      </c>
      <c r="I238" s="1">
        <v>1200</v>
      </c>
      <c r="J238" s="18" t="s">
        <v>474</v>
      </c>
      <c r="K238" s="16">
        <v>45342</v>
      </c>
      <c r="L238" s="18">
        <v>928</v>
      </c>
    </row>
    <row r="239" spans="1:12" x14ac:dyDescent="0.2">
      <c r="A239" s="8">
        <v>7804920282033</v>
      </c>
      <c r="B239" s="12" t="s">
        <v>400</v>
      </c>
      <c r="C239" s="13">
        <v>12</v>
      </c>
      <c r="D239" s="14" t="s">
        <v>50</v>
      </c>
      <c r="E239" s="1">
        <v>250</v>
      </c>
      <c r="F239" s="1">
        <f t="shared" si="11"/>
        <v>546.21848739495806</v>
      </c>
      <c r="G239" s="1">
        <v>650</v>
      </c>
      <c r="H239" s="1">
        <f t="shared" si="12"/>
        <v>504.20168067226894</v>
      </c>
      <c r="I239" s="1">
        <v>600</v>
      </c>
      <c r="J239" s="18" t="s">
        <v>474</v>
      </c>
      <c r="K239" s="16">
        <v>45342</v>
      </c>
      <c r="L239" s="18">
        <v>30</v>
      </c>
    </row>
    <row r="240" spans="1:12" x14ac:dyDescent="0.2">
      <c r="A240" s="8">
        <v>7804920283030</v>
      </c>
      <c r="B240" s="12" t="s">
        <v>399</v>
      </c>
      <c r="C240" s="13">
        <v>10</v>
      </c>
      <c r="D240" s="14" t="s">
        <v>50</v>
      </c>
      <c r="E240" s="1">
        <v>500</v>
      </c>
      <c r="F240" s="1">
        <f t="shared" si="11"/>
        <v>840.3361344537816</v>
      </c>
      <c r="G240" s="1">
        <v>1000</v>
      </c>
      <c r="H240" s="1">
        <f t="shared" si="12"/>
        <v>840.3361344537816</v>
      </c>
      <c r="I240" s="1">
        <v>1000</v>
      </c>
      <c r="J240" s="18" t="s">
        <v>474</v>
      </c>
      <c r="K240" s="16">
        <v>45342</v>
      </c>
      <c r="L240" s="18">
        <v>72</v>
      </c>
    </row>
    <row r="241" spans="1:12" x14ac:dyDescent="0.2">
      <c r="A241" s="8">
        <v>7804920283016</v>
      </c>
      <c r="B241" s="12" t="s">
        <v>398</v>
      </c>
      <c r="C241" s="13">
        <v>10</v>
      </c>
      <c r="D241" s="14" t="s">
        <v>50</v>
      </c>
      <c r="E241" s="1">
        <v>500</v>
      </c>
      <c r="F241" s="1">
        <f t="shared" si="11"/>
        <v>840.3361344537816</v>
      </c>
      <c r="G241" s="1">
        <v>1000</v>
      </c>
      <c r="H241" s="1">
        <f t="shared" si="12"/>
        <v>840.3361344537816</v>
      </c>
      <c r="I241" s="1">
        <v>1000</v>
      </c>
      <c r="J241" s="18" t="s">
        <v>474</v>
      </c>
      <c r="K241" s="16">
        <v>45342</v>
      </c>
      <c r="L241" s="18">
        <v>64</v>
      </c>
    </row>
    <row r="242" spans="1:12" x14ac:dyDescent="0.2">
      <c r="A242" s="8">
        <v>7804920280589</v>
      </c>
      <c r="B242" s="12" t="s">
        <v>401</v>
      </c>
      <c r="C242" s="13">
        <v>12</v>
      </c>
      <c r="D242" s="14" t="s">
        <v>50</v>
      </c>
      <c r="E242" s="1">
        <v>500</v>
      </c>
      <c r="F242" s="1">
        <f t="shared" si="11"/>
        <v>840.3361344537816</v>
      </c>
      <c r="G242" s="1">
        <v>1000</v>
      </c>
      <c r="H242" s="1">
        <f t="shared" si="12"/>
        <v>840.3361344537816</v>
      </c>
      <c r="I242" s="1">
        <v>1000</v>
      </c>
      <c r="J242" s="18" t="s">
        <v>474</v>
      </c>
      <c r="K242" s="16">
        <v>45342</v>
      </c>
      <c r="L242" s="18">
        <v>1039</v>
      </c>
    </row>
    <row r="243" spans="1:12" x14ac:dyDescent="0.2">
      <c r="A243" s="22">
        <v>7804920280572</v>
      </c>
      <c r="B243" s="24" t="s">
        <v>394</v>
      </c>
      <c r="C243" s="22">
        <v>12</v>
      </c>
      <c r="D243" s="22" t="s">
        <v>50</v>
      </c>
      <c r="E243" s="2">
        <v>700</v>
      </c>
      <c r="F243" s="1">
        <f t="shared" si="11"/>
        <v>1000</v>
      </c>
      <c r="G243" s="2">
        <v>1190</v>
      </c>
      <c r="H243" s="1">
        <f t="shared" si="12"/>
        <v>924.36974789915973</v>
      </c>
      <c r="I243" s="2">
        <v>1100</v>
      </c>
      <c r="J243" s="18" t="s">
        <v>474</v>
      </c>
      <c r="K243" s="16">
        <v>45342</v>
      </c>
      <c r="L243" s="18">
        <v>98</v>
      </c>
    </row>
    <row r="244" spans="1:12" x14ac:dyDescent="0.2">
      <c r="A244" s="22">
        <v>7804920280343</v>
      </c>
      <c r="B244" s="24" t="s">
        <v>393</v>
      </c>
      <c r="C244" s="22">
        <v>12</v>
      </c>
      <c r="D244" s="22" t="s">
        <v>50</v>
      </c>
      <c r="E244" s="2">
        <v>700</v>
      </c>
      <c r="F244" s="1">
        <f t="shared" si="11"/>
        <v>1000</v>
      </c>
      <c r="G244" s="2">
        <v>1190</v>
      </c>
      <c r="H244" s="1">
        <f t="shared" si="12"/>
        <v>924.36974789915973</v>
      </c>
      <c r="I244" s="2">
        <v>1100</v>
      </c>
      <c r="J244" s="18" t="s">
        <v>474</v>
      </c>
      <c r="K244" s="16">
        <v>45342</v>
      </c>
      <c r="L244" s="18">
        <v>192</v>
      </c>
    </row>
    <row r="245" spans="1:12" x14ac:dyDescent="0.2">
      <c r="A245" s="22">
        <v>7804920280695</v>
      </c>
      <c r="B245" s="12" t="s">
        <v>392</v>
      </c>
      <c r="C245" s="13">
        <v>12</v>
      </c>
      <c r="D245" s="14" t="s">
        <v>50</v>
      </c>
      <c r="E245" s="2">
        <v>700</v>
      </c>
      <c r="F245" s="1">
        <f t="shared" si="11"/>
        <v>1000</v>
      </c>
      <c r="G245" s="2">
        <v>1190</v>
      </c>
      <c r="H245" s="1">
        <f t="shared" si="12"/>
        <v>924.36974789915973</v>
      </c>
      <c r="I245" s="2">
        <v>1100</v>
      </c>
      <c r="J245" s="18" t="s">
        <v>474</v>
      </c>
      <c r="K245" s="16">
        <v>45342</v>
      </c>
      <c r="L245" s="18">
        <v>86</v>
      </c>
    </row>
    <row r="246" spans="1:12" x14ac:dyDescent="0.2">
      <c r="A246" s="8">
        <v>7804920280596</v>
      </c>
      <c r="B246" s="15" t="s">
        <v>395</v>
      </c>
      <c r="C246" s="13">
        <v>10</v>
      </c>
      <c r="D246" s="14" t="s">
        <v>50</v>
      </c>
      <c r="E246" s="1">
        <v>700</v>
      </c>
      <c r="F246" s="1">
        <f t="shared" si="11"/>
        <v>1000</v>
      </c>
      <c r="G246" s="2">
        <v>1190</v>
      </c>
      <c r="H246" s="1">
        <f t="shared" si="12"/>
        <v>924.36974789915973</v>
      </c>
      <c r="I246" s="2">
        <v>1100</v>
      </c>
      <c r="J246" s="18" t="s">
        <v>474</v>
      </c>
      <c r="K246" s="16">
        <v>45342</v>
      </c>
      <c r="L246" s="18">
        <v>119</v>
      </c>
    </row>
    <row r="247" spans="1:12" x14ac:dyDescent="0.2">
      <c r="A247" s="8">
        <v>7804920008411</v>
      </c>
      <c r="B247" s="12" t="s">
        <v>396</v>
      </c>
      <c r="C247" s="13" t="s">
        <v>753</v>
      </c>
      <c r="D247" s="14" t="s">
        <v>50</v>
      </c>
      <c r="E247" s="1">
        <v>1200</v>
      </c>
      <c r="F247" s="1">
        <f t="shared" si="11"/>
        <v>1957.9831932773111</v>
      </c>
      <c r="G247" s="1">
        <v>2330</v>
      </c>
      <c r="H247" s="1">
        <f t="shared" si="12"/>
        <v>1823.5294117647059</v>
      </c>
      <c r="I247" s="1">
        <v>2170</v>
      </c>
      <c r="J247" s="18" t="s">
        <v>474</v>
      </c>
      <c r="K247" s="16">
        <v>45342</v>
      </c>
      <c r="L247" s="18">
        <v>336</v>
      </c>
    </row>
    <row r="248" spans="1:12" x14ac:dyDescent="0.2">
      <c r="A248" s="22">
        <v>7898363315526</v>
      </c>
      <c r="B248" s="19" t="s">
        <v>577</v>
      </c>
      <c r="C248" s="13">
        <v>1</v>
      </c>
      <c r="D248" s="14" t="s">
        <v>50</v>
      </c>
      <c r="E248" s="2">
        <v>1418</v>
      </c>
      <c r="F248" s="1">
        <f t="shared" si="11"/>
        <v>1848.7394957983195</v>
      </c>
      <c r="G248" s="2">
        <v>2200</v>
      </c>
      <c r="H248" s="1">
        <f t="shared" si="12"/>
        <v>1848.7394957983195</v>
      </c>
      <c r="I248" s="2">
        <v>2200</v>
      </c>
      <c r="J248" s="18" t="s">
        <v>575</v>
      </c>
      <c r="K248" s="16">
        <v>45342</v>
      </c>
      <c r="L248" s="18">
        <v>4</v>
      </c>
    </row>
    <row r="249" spans="1:12" x14ac:dyDescent="0.2">
      <c r="A249" s="22">
        <v>7898363313379</v>
      </c>
      <c r="B249" s="19" t="s">
        <v>576</v>
      </c>
      <c r="C249" s="13">
        <v>1</v>
      </c>
      <c r="D249" s="14" t="s">
        <v>50</v>
      </c>
      <c r="E249" s="2">
        <v>1418</v>
      </c>
      <c r="F249" s="1">
        <f t="shared" si="11"/>
        <v>1848.7394957983195</v>
      </c>
      <c r="G249" s="2">
        <v>2200</v>
      </c>
      <c r="H249" s="1">
        <f t="shared" si="12"/>
        <v>1848.7394957983195</v>
      </c>
      <c r="I249" s="2">
        <v>2200</v>
      </c>
      <c r="J249" s="18" t="s">
        <v>575</v>
      </c>
      <c r="K249" s="16">
        <v>45342</v>
      </c>
      <c r="L249" s="18">
        <v>4</v>
      </c>
    </row>
    <row r="250" spans="1:12" x14ac:dyDescent="0.2">
      <c r="A250" s="8">
        <v>7804673770122</v>
      </c>
      <c r="B250" s="12" t="s">
        <v>207</v>
      </c>
      <c r="C250" s="13">
        <v>1</v>
      </c>
      <c r="D250" s="14" t="s">
        <v>50</v>
      </c>
      <c r="E250" s="2">
        <v>540</v>
      </c>
      <c r="F250" s="1">
        <f t="shared" si="11"/>
        <v>672.26890756302521</v>
      </c>
      <c r="G250" s="2">
        <v>800</v>
      </c>
      <c r="H250" s="1">
        <f t="shared" si="12"/>
        <v>630.2521008403362</v>
      </c>
      <c r="I250" s="2">
        <v>750</v>
      </c>
      <c r="J250" s="18" t="s">
        <v>40</v>
      </c>
      <c r="K250" s="16">
        <v>44594</v>
      </c>
      <c r="L250" s="18">
        <v>332</v>
      </c>
    </row>
    <row r="251" spans="1:12" x14ac:dyDescent="0.2">
      <c r="A251" s="17">
        <v>7804673770153</v>
      </c>
      <c r="B251" s="12" t="s">
        <v>208</v>
      </c>
      <c r="C251" s="13">
        <v>6</v>
      </c>
      <c r="D251" s="14" t="s">
        <v>50</v>
      </c>
      <c r="E251" s="2">
        <v>3200</v>
      </c>
      <c r="F251" s="1">
        <f t="shared" si="11"/>
        <v>3361.3445378151264</v>
      </c>
      <c r="G251" s="2">
        <v>4000</v>
      </c>
      <c r="H251" s="1">
        <f t="shared" si="12"/>
        <v>3235.294117647059</v>
      </c>
      <c r="I251" s="2">
        <v>3850</v>
      </c>
      <c r="J251" s="18" t="s">
        <v>40</v>
      </c>
      <c r="K251" s="16">
        <v>44672</v>
      </c>
      <c r="L251" s="18">
        <v>36</v>
      </c>
    </row>
    <row r="252" spans="1:12" x14ac:dyDescent="0.2">
      <c r="A252" s="8">
        <v>7804947004496</v>
      </c>
      <c r="B252" s="12" t="s">
        <v>210</v>
      </c>
      <c r="C252" s="13">
        <v>6</v>
      </c>
      <c r="D252" s="14" t="s">
        <v>50</v>
      </c>
      <c r="E252" s="2">
        <v>990</v>
      </c>
      <c r="F252" s="1">
        <f t="shared" si="11"/>
        <v>1327.7310924369749</v>
      </c>
      <c r="G252" s="2">
        <v>1580</v>
      </c>
      <c r="H252" s="1">
        <f t="shared" si="12"/>
        <v>1268.90756302521</v>
      </c>
      <c r="I252" s="2">
        <v>1510</v>
      </c>
      <c r="J252" s="18" t="s">
        <v>39</v>
      </c>
      <c r="K252" s="16">
        <v>44620</v>
      </c>
      <c r="L252" s="18">
        <v>78</v>
      </c>
    </row>
    <row r="253" spans="1:12" x14ac:dyDescent="0.2">
      <c r="A253" s="8">
        <v>7804947002591</v>
      </c>
      <c r="B253" s="12" t="s">
        <v>209</v>
      </c>
      <c r="C253" s="13">
        <v>1</v>
      </c>
      <c r="D253" s="14" t="s">
        <v>50</v>
      </c>
      <c r="E253" s="2">
        <v>990</v>
      </c>
      <c r="F253" s="1">
        <f t="shared" si="11"/>
        <v>1327.7310924369749</v>
      </c>
      <c r="G253" s="2">
        <v>1580</v>
      </c>
      <c r="H253" s="1">
        <f t="shared" si="12"/>
        <v>1268.90756302521</v>
      </c>
      <c r="I253" s="2">
        <v>1510</v>
      </c>
      <c r="J253" s="18" t="s">
        <v>39</v>
      </c>
      <c r="K253" s="16">
        <v>45131</v>
      </c>
      <c r="L253" s="18">
        <v>6</v>
      </c>
    </row>
    <row r="254" spans="1:12" x14ac:dyDescent="0.2">
      <c r="A254" s="8">
        <v>7804947004939</v>
      </c>
      <c r="B254" s="12" t="s">
        <v>211</v>
      </c>
      <c r="C254" s="13">
        <v>1</v>
      </c>
      <c r="D254" s="14" t="s">
        <v>50</v>
      </c>
      <c r="E254" s="2">
        <v>990</v>
      </c>
      <c r="F254" s="1">
        <f t="shared" si="11"/>
        <v>1327.7310924369749</v>
      </c>
      <c r="G254" s="2">
        <v>1580</v>
      </c>
      <c r="H254" s="1">
        <f t="shared" si="12"/>
        <v>1268.90756302521</v>
      </c>
      <c r="I254" s="2">
        <v>1510</v>
      </c>
      <c r="J254" s="18" t="s">
        <v>39</v>
      </c>
      <c r="K254" s="16">
        <v>44775</v>
      </c>
      <c r="L254" s="18">
        <v>6</v>
      </c>
    </row>
    <row r="255" spans="1:12" x14ac:dyDescent="0.2">
      <c r="A255" s="8">
        <v>7804673770184</v>
      </c>
      <c r="B255" s="12" t="s">
        <v>108</v>
      </c>
      <c r="C255" s="13">
        <v>1</v>
      </c>
      <c r="D255" s="14" t="s">
        <v>50</v>
      </c>
      <c r="E255" s="2">
        <v>544</v>
      </c>
      <c r="F255" s="1">
        <f t="shared" si="11"/>
        <v>672.26890756302521</v>
      </c>
      <c r="G255" s="2">
        <v>800</v>
      </c>
      <c r="H255" s="1">
        <f t="shared" si="12"/>
        <v>655.46218487394958</v>
      </c>
      <c r="I255" s="2">
        <v>780</v>
      </c>
      <c r="J255" s="18" t="s">
        <v>40</v>
      </c>
      <c r="K255" s="16">
        <v>44594</v>
      </c>
      <c r="L255" s="18">
        <v>60</v>
      </c>
    </row>
    <row r="256" spans="1:12" x14ac:dyDescent="0.2">
      <c r="A256" s="8">
        <v>7804673770221</v>
      </c>
      <c r="B256" s="12" t="s">
        <v>711</v>
      </c>
      <c r="C256" s="13">
        <v>1</v>
      </c>
      <c r="D256" s="14" t="s">
        <v>50</v>
      </c>
      <c r="E256" s="2">
        <v>12080</v>
      </c>
      <c r="F256" s="1">
        <f t="shared" si="11"/>
        <v>8403.361344537816</v>
      </c>
      <c r="G256" s="2">
        <v>10000</v>
      </c>
      <c r="H256" s="1">
        <f t="shared" si="12"/>
        <v>8403.361344537816</v>
      </c>
      <c r="I256" s="2">
        <v>10000</v>
      </c>
      <c r="J256" s="18" t="s">
        <v>40</v>
      </c>
      <c r="K256" s="16">
        <v>44672</v>
      </c>
      <c r="L256" s="18">
        <v>9</v>
      </c>
    </row>
    <row r="257" spans="1:12" x14ac:dyDescent="0.2">
      <c r="A257" s="8">
        <v>7804673770214</v>
      </c>
      <c r="B257" s="12" t="s">
        <v>212</v>
      </c>
      <c r="C257" s="13">
        <v>6</v>
      </c>
      <c r="D257" s="14" t="s">
        <v>50</v>
      </c>
      <c r="E257" s="2">
        <v>3320</v>
      </c>
      <c r="F257" s="1">
        <f t="shared" si="11"/>
        <v>3361.3445378151264</v>
      </c>
      <c r="G257" s="2">
        <v>4000</v>
      </c>
      <c r="H257" s="1">
        <f t="shared" si="12"/>
        <v>3235.294117647059</v>
      </c>
      <c r="I257" s="2">
        <v>3850</v>
      </c>
      <c r="J257" s="18" t="s">
        <v>40</v>
      </c>
      <c r="K257" s="16">
        <v>44672</v>
      </c>
      <c r="L257" s="18">
        <v>545</v>
      </c>
    </row>
    <row r="258" spans="1:12" x14ac:dyDescent="0.2">
      <c r="A258" s="8">
        <v>7802800566457</v>
      </c>
      <c r="B258" s="20" t="s">
        <v>523</v>
      </c>
      <c r="C258" s="13">
        <v>1</v>
      </c>
      <c r="D258" s="14" t="s">
        <v>50</v>
      </c>
      <c r="E258" s="2">
        <v>400</v>
      </c>
      <c r="F258" s="1">
        <f t="shared" si="11"/>
        <v>420.1680672268908</v>
      </c>
      <c r="G258" s="2">
        <v>500</v>
      </c>
      <c r="H258" s="1">
        <f t="shared" si="12"/>
        <v>420.1680672268908</v>
      </c>
      <c r="I258" s="2">
        <v>500</v>
      </c>
      <c r="J258" s="18" t="s">
        <v>30</v>
      </c>
      <c r="K258" s="16">
        <v>45278</v>
      </c>
      <c r="L258" s="18">
        <v>2</v>
      </c>
    </row>
    <row r="259" spans="1:12" x14ac:dyDescent="0.2">
      <c r="A259" s="8">
        <v>7802800503735</v>
      </c>
      <c r="B259" s="20" t="s">
        <v>464</v>
      </c>
      <c r="C259" s="13">
        <v>8</v>
      </c>
      <c r="D259" s="14" t="s">
        <v>50</v>
      </c>
      <c r="E259" s="2">
        <f>1910/8</f>
        <v>238.75</v>
      </c>
      <c r="F259" s="1">
        <f t="shared" ref="F259:F322" si="13">G259/1.19</f>
        <v>294.11764705882354</v>
      </c>
      <c r="G259" s="2">
        <v>350</v>
      </c>
      <c r="H259" s="1">
        <f t="shared" ref="H259:H322" si="14">I259/1.19</f>
        <v>294.11764705882354</v>
      </c>
      <c r="I259" s="2">
        <v>350</v>
      </c>
      <c r="J259" s="18" t="s">
        <v>30</v>
      </c>
      <c r="K259" s="16">
        <v>45492</v>
      </c>
      <c r="L259" s="18">
        <v>4</v>
      </c>
    </row>
    <row r="260" spans="1:12" x14ac:dyDescent="0.2">
      <c r="A260" s="8">
        <v>7802800503537</v>
      </c>
      <c r="B260" s="20" t="s">
        <v>164</v>
      </c>
      <c r="C260" s="13">
        <v>8</v>
      </c>
      <c r="D260" s="14" t="s">
        <v>50</v>
      </c>
      <c r="E260" s="2">
        <v>1910</v>
      </c>
      <c r="F260" s="1">
        <f t="shared" si="13"/>
        <v>2336.1344537815125</v>
      </c>
      <c r="G260" s="2">
        <v>2780</v>
      </c>
      <c r="H260" s="1">
        <f t="shared" si="14"/>
        <v>2252.1008403361348</v>
      </c>
      <c r="I260" s="2">
        <v>2680</v>
      </c>
      <c r="J260" s="18" t="s">
        <v>30</v>
      </c>
      <c r="K260" s="16">
        <v>45492</v>
      </c>
      <c r="L260" s="18">
        <v>4</v>
      </c>
    </row>
    <row r="261" spans="1:12" x14ac:dyDescent="0.2">
      <c r="A261" s="9">
        <v>7802800503568</v>
      </c>
      <c r="B261" s="12" t="s">
        <v>165</v>
      </c>
      <c r="C261" s="13">
        <v>1</v>
      </c>
      <c r="D261" s="14" t="s">
        <v>50</v>
      </c>
      <c r="E261" s="2">
        <v>2131</v>
      </c>
      <c r="F261" s="1">
        <f t="shared" si="13"/>
        <v>2336.1344537815125</v>
      </c>
      <c r="G261" s="2">
        <v>2780</v>
      </c>
      <c r="H261" s="1">
        <f t="shared" si="14"/>
        <v>2252.1008403361348</v>
      </c>
      <c r="I261" s="2">
        <v>2680</v>
      </c>
      <c r="J261" s="18" t="s">
        <v>30</v>
      </c>
      <c r="K261" s="16">
        <v>44630</v>
      </c>
      <c r="L261" s="18">
        <v>5</v>
      </c>
    </row>
    <row r="262" spans="1:12" x14ac:dyDescent="0.2">
      <c r="A262" s="8">
        <v>7802800503544</v>
      </c>
      <c r="B262" s="20" t="s">
        <v>213</v>
      </c>
      <c r="C262" s="13">
        <v>8</v>
      </c>
      <c r="D262" s="14" t="s">
        <v>50</v>
      </c>
      <c r="E262" s="2">
        <v>1910</v>
      </c>
      <c r="F262" s="1">
        <f t="shared" si="13"/>
        <v>2336.1344537815125</v>
      </c>
      <c r="G262" s="2">
        <v>2780</v>
      </c>
      <c r="H262" s="1">
        <f t="shared" si="14"/>
        <v>2252.1008403361348</v>
      </c>
      <c r="I262" s="2">
        <v>2680</v>
      </c>
      <c r="J262" s="18" t="s">
        <v>30</v>
      </c>
      <c r="K262" s="16">
        <v>45492</v>
      </c>
      <c r="L262" s="18">
        <v>9</v>
      </c>
    </row>
    <row r="263" spans="1:12" x14ac:dyDescent="0.2">
      <c r="A263" s="8">
        <v>7802800503575</v>
      </c>
      <c r="B263" s="20" t="s">
        <v>688</v>
      </c>
      <c r="C263" s="13">
        <v>8</v>
      </c>
      <c r="D263" s="14" t="s">
        <v>50</v>
      </c>
      <c r="E263" s="2">
        <v>1910</v>
      </c>
      <c r="F263" s="1">
        <f t="shared" si="13"/>
        <v>2336.1344537815125</v>
      </c>
      <c r="G263" s="2">
        <v>2780</v>
      </c>
      <c r="H263" s="1">
        <f t="shared" si="14"/>
        <v>2252.1008403361348</v>
      </c>
      <c r="I263" s="2">
        <v>2680</v>
      </c>
      <c r="J263" s="18" t="s">
        <v>30</v>
      </c>
      <c r="K263" s="16">
        <v>45492</v>
      </c>
      <c r="L263" s="18">
        <v>6</v>
      </c>
    </row>
    <row r="264" spans="1:12" x14ac:dyDescent="0.2">
      <c r="A264" s="9">
        <v>7802800556212</v>
      </c>
      <c r="B264" s="12" t="s">
        <v>214</v>
      </c>
      <c r="C264" s="13">
        <v>12</v>
      </c>
      <c r="D264" s="14" t="s">
        <v>50</v>
      </c>
      <c r="E264" s="2">
        <v>313</v>
      </c>
      <c r="F264" s="1">
        <f t="shared" si="13"/>
        <v>420.1680672268908</v>
      </c>
      <c r="G264" s="2">
        <v>500</v>
      </c>
      <c r="H264" s="1">
        <f t="shared" si="14"/>
        <v>420.1680672268908</v>
      </c>
      <c r="I264" s="2">
        <v>500</v>
      </c>
      <c r="J264" s="18" t="s">
        <v>30</v>
      </c>
      <c r="K264" s="16">
        <v>45401</v>
      </c>
      <c r="L264" s="18">
        <v>12</v>
      </c>
    </row>
    <row r="265" spans="1:12" x14ac:dyDescent="0.2">
      <c r="A265" s="9">
        <v>7802800556205</v>
      </c>
      <c r="B265" s="12" t="s">
        <v>215</v>
      </c>
      <c r="C265" s="13">
        <v>12</v>
      </c>
      <c r="D265" s="14" t="s">
        <v>50</v>
      </c>
      <c r="E265" s="2">
        <v>313</v>
      </c>
      <c r="F265" s="1">
        <f t="shared" si="13"/>
        <v>420.1680672268908</v>
      </c>
      <c r="G265" s="2">
        <v>500</v>
      </c>
      <c r="H265" s="1">
        <f t="shared" si="14"/>
        <v>420.1680672268908</v>
      </c>
      <c r="I265" s="2">
        <v>500</v>
      </c>
      <c r="J265" s="18" t="s">
        <v>30</v>
      </c>
      <c r="K265" s="16">
        <v>45401</v>
      </c>
      <c r="L265" s="18">
        <v>12</v>
      </c>
    </row>
    <row r="266" spans="1:12" x14ac:dyDescent="0.2">
      <c r="A266" s="9">
        <v>6970278350081</v>
      </c>
      <c r="B266" s="20" t="s">
        <v>132</v>
      </c>
      <c r="C266" s="13">
        <v>1</v>
      </c>
      <c r="D266" s="14" t="s">
        <v>50</v>
      </c>
      <c r="E266" s="2">
        <v>350</v>
      </c>
      <c r="F266" s="1">
        <f t="shared" si="13"/>
        <v>672.26890756302521</v>
      </c>
      <c r="G266" s="2">
        <v>800</v>
      </c>
      <c r="H266" s="1">
        <f t="shared" si="14"/>
        <v>596.63865546218494</v>
      </c>
      <c r="I266" s="2">
        <v>710</v>
      </c>
      <c r="J266" s="18" t="s">
        <v>461</v>
      </c>
      <c r="K266" s="16">
        <v>45062</v>
      </c>
      <c r="L266" s="18">
        <v>30</v>
      </c>
    </row>
    <row r="267" spans="1:12" x14ac:dyDescent="0.2">
      <c r="A267" s="8">
        <v>7802626161010</v>
      </c>
      <c r="B267" s="12" t="s">
        <v>681</v>
      </c>
      <c r="C267" s="13">
        <v>10</v>
      </c>
      <c r="D267" s="14" t="s">
        <v>50</v>
      </c>
      <c r="E267" s="1">
        <f>6031/10</f>
        <v>603.1</v>
      </c>
      <c r="F267" s="1">
        <f t="shared" si="13"/>
        <v>789.9159663865546</v>
      </c>
      <c r="G267" s="1">
        <v>940</v>
      </c>
      <c r="H267" s="1">
        <f t="shared" si="14"/>
        <v>764.70588235294122</v>
      </c>
      <c r="I267" s="1">
        <v>910</v>
      </c>
      <c r="J267" s="15" t="s">
        <v>677</v>
      </c>
      <c r="K267" s="16">
        <v>45490</v>
      </c>
      <c r="L267" s="18">
        <v>30</v>
      </c>
    </row>
    <row r="268" spans="1:12" x14ac:dyDescent="0.2">
      <c r="A268" s="8">
        <v>7802615005516</v>
      </c>
      <c r="B268" s="12" t="s">
        <v>679</v>
      </c>
      <c r="C268" s="13">
        <v>12</v>
      </c>
      <c r="D268" s="14" t="s">
        <v>50</v>
      </c>
      <c r="E268" s="1">
        <f>890/1.19</f>
        <v>747.89915966386559</v>
      </c>
      <c r="F268" s="1">
        <f t="shared" si="13"/>
        <v>966.38655462184875</v>
      </c>
      <c r="G268" s="1">
        <v>1150</v>
      </c>
      <c r="H268" s="1">
        <f t="shared" si="14"/>
        <v>932.77310924369749</v>
      </c>
      <c r="I268" s="1">
        <v>1110</v>
      </c>
      <c r="J268" s="15" t="s">
        <v>677</v>
      </c>
      <c r="K268" s="16">
        <v>45490</v>
      </c>
      <c r="L268" s="18">
        <v>48</v>
      </c>
    </row>
    <row r="269" spans="1:12" x14ac:dyDescent="0.2">
      <c r="A269" s="8">
        <v>7802626100026</v>
      </c>
      <c r="B269" s="12" t="s">
        <v>678</v>
      </c>
      <c r="C269" s="13">
        <v>10</v>
      </c>
      <c r="D269" s="14" t="s">
        <v>50</v>
      </c>
      <c r="E269" s="1">
        <f>6031/10</f>
        <v>603.1</v>
      </c>
      <c r="F269" s="1">
        <f t="shared" si="13"/>
        <v>789.9159663865546</v>
      </c>
      <c r="G269" s="1">
        <v>940</v>
      </c>
      <c r="H269" s="1">
        <f t="shared" si="14"/>
        <v>764.70588235294122</v>
      </c>
      <c r="I269" s="1">
        <v>910</v>
      </c>
      <c r="J269" s="15" t="s">
        <v>677</v>
      </c>
      <c r="K269" s="16">
        <v>45490</v>
      </c>
      <c r="L269" s="18">
        <v>53</v>
      </c>
    </row>
    <row r="270" spans="1:12" x14ac:dyDescent="0.2">
      <c r="A270" s="8">
        <v>7802615005615</v>
      </c>
      <c r="B270" s="12" t="s">
        <v>680</v>
      </c>
      <c r="C270" s="13">
        <v>12</v>
      </c>
      <c r="D270" s="14" t="s">
        <v>50</v>
      </c>
      <c r="E270" s="1">
        <f>7786/12</f>
        <v>648.83333333333337</v>
      </c>
      <c r="F270" s="1">
        <f t="shared" si="13"/>
        <v>966.38655462184875</v>
      </c>
      <c r="G270" s="1">
        <v>1150</v>
      </c>
      <c r="H270" s="1">
        <f t="shared" si="14"/>
        <v>932.77310924369749</v>
      </c>
      <c r="I270" s="1">
        <v>1110</v>
      </c>
      <c r="J270" s="15" t="s">
        <v>677</v>
      </c>
      <c r="K270" s="16">
        <v>45490</v>
      </c>
      <c r="L270" s="18">
        <v>56</v>
      </c>
    </row>
    <row r="271" spans="1:12" x14ac:dyDescent="0.2">
      <c r="A271" s="8" t="s">
        <v>567</v>
      </c>
      <c r="B271" s="12" t="s">
        <v>568</v>
      </c>
      <c r="C271" s="13">
        <v>24</v>
      </c>
      <c r="D271" s="14" t="s">
        <v>50</v>
      </c>
      <c r="E271" s="1">
        <f>4720/24</f>
        <v>196.66666666666666</v>
      </c>
      <c r="F271" s="1">
        <f t="shared" si="13"/>
        <v>336.1344537815126</v>
      </c>
      <c r="G271" s="1">
        <v>400</v>
      </c>
      <c r="H271" s="1">
        <f t="shared" si="14"/>
        <v>336.1344537815126</v>
      </c>
      <c r="I271" s="1">
        <v>400</v>
      </c>
      <c r="J271" s="15" t="s">
        <v>530</v>
      </c>
      <c r="K271" s="16">
        <v>45254</v>
      </c>
      <c r="L271" s="18">
        <v>20</v>
      </c>
    </row>
    <row r="272" spans="1:12" x14ac:dyDescent="0.2">
      <c r="A272" s="8" t="s">
        <v>765</v>
      </c>
      <c r="B272" s="12" t="s">
        <v>766</v>
      </c>
      <c r="C272" s="13">
        <v>24</v>
      </c>
      <c r="D272" s="14" t="s">
        <v>50</v>
      </c>
      <c r="E272" s="1">
        <v>300</v>
      </c>
      <c r="F272" s="1">
        <f t="shared" si="13"/>
        <v>504.20168067226894</v>
      </c>
      <c r="G272" s="1">
        <v>600</v>
      </c>
      <c r="H272" s="1">
        <f t="shared" si="14"/>
        <v>504.20168067226894</v>
      </c>
      <c r="I272" s="1">
        <v>600</v>
      </c>
      <c r="J272" s="15" t="s">
        <v>530</v>
      </c>
      <c r="K272" s="16">
        <v>45327</v>
      </c>
      <c r="L272" s="18">
        <v>6</v>
      </c>
    </row>
    <row r="273" spans="1:12" x14ac:dyDescent="0.2">
      <c r="A273" s="8" t="s">
        <v>767</v>
      </c>
      <c r="B273" s="12" t="s">
        <v>768</v>
      </c>
      <c r="C273" s="13">
        <v>24</v>
      </c>
      <c r="D273" s="14" t="s">
        <v>50</v>
      </c>
      <c r="E273" s="1">
        <v>300</v>
      </c>
      <c r="F273" s="1">
        <f t="shared" si="13"/>
        <v>504.20168067226894</v>
      </c>
      <c r="G273" s="1">
        <v>600</v>
      </c>
      <c r="H273" s="1">
        <f t="shared" si="14"/>
        <v>504.20168067226894</v>
      </c>
      <c r="I273" s="1">
        <v>600</v>
      </c>
      <c r="J273" s="15" t="s">
        <v>530</v>
      </c>
      <c r="K273" s="16">
        <v>45327</v>
      </c>
      <c r="L273" s="18">
        <v>10</v>
      </c>
    </row>
    <row r="274" spans="1:12" x14ac:dyDescent="0.2">
      <c r="A274" s="8" t="s">
        <v>769</v>
      </c>
      <c r="B274" s="12" t="s">
        <v>770</v>
      </c>
      <c r="C274" s="13">
        <v>24</v>
      </c>
      <c r="D274" s="14" t="s">
        <v>50</v>
      </c>
      <c r="E274" s="1">
        <v>300</v>
      </c>
      <c r="F274" s="1">
        <f t="shared" si="13"/>
        <v>504.20168067226894</v>
      </c>
      <c r="G274" s="1">
        <v>600</v>
      </c>
      <c r="H274" s="1">
        <f t="shared" si="14"/>
        <v>504.20168067226894</v>
      </c>
      <c r="I274" s="1">
        <v>600</v>
      </c>
      <c r="J274" s="15" t="s">
        <v>530</v>
      </c>
      <c r="K274" s="16">
        <v>45327</v>
      </c>
      <c r="L274" s="18">
        <v>4</v>
      </c>
    </row>
    <row r="275" spans="1:12" x14ac:dyDescent="0.2">
      <c r="A275" s="8" t="s">
        <v>771</v>
      </c>
      <c r="B275" s="12" t="s">
        <v>772</v>
      </c>
      <c r="C275" s="13">
        <v>24</v>
      </c>
      <c r="D275" s="14" t="s">
        <v>50</v>
      </c>
      <c r="E275" s="1">
        <v>300</v>
      </c>
      <c r="F275" s="1">
        <f t="shared" si="13"/>
        <v>504.20168067226894</v>
      </c>
      <c r="G275" s="1">
        <v>600</v>
      </c>
      <c r="H275" s="1">
        <f t="shared" si="14"/>
        <v>504.20168067226894</v>
      </c>
      <c r="I275" s="1">
        <v>600</v>
      </c>
      <c r="J275" s="15" t="s">
        <v>530</v>
      </c>
      <c r="K275" s="16">
        <v>45327</v>
      </c>
      <c r="L275" s="18">
        <v>6</v>
      </c>
    </row>
    <row r="276" spans="1:12" x14ac:dyDescent="0.2">
      <c r="A276" s="8" t="s">
        <v>774</v>
      </c>
      <c r="B276" s="12" t="s">
        <v>773</v>
      </c>
      <c r="C276" s="13">
        <v>24</v>
      </c>
      <c r="D276" s="14" t="s">
        <v>50</v>
      </c>
      <c r="E276" s="1">
        <v>300</v>
      </c>
      <c r="F276" s="1">
        <f t="shared" si="13"/>
        <v>504.20168067226894</v>
      </c>
      <c r="G276" s="1">
        <v>600</v>
      </c>
      <c r="H276" s="1">
        <f t="shared" si="14"/>
        <v>504.20168067226894</v>
      </c>
      <c r="I276" s="1">
        <v>600</v>
      </c>
      <c r="J276" s="15" t="s">
        <v>530</v>
      </c>
      <c r="K276" s="16">
        <v>45327</v>
      </c>
      <c r="L276" s="18">
        <v>10</v>
      </c>
    </row>
    <row r="277" spans="1:12" x14ac:dyDescent="0.2">
      <c r="A277" s="8" t="s">
        <v>775</v>
      </c>
      <c r="B277" s="12" t="s">
        <v>777</v>
      </c>
      <c r="C277" s="13">
        <v>24</v>
      </c>
      <c r="D277" s="14" t="s">
        <v>50</v>
      </c>
      <c r="E277" s="1">
        <v>300</v>
      </c>
      <c r="F277" s="1">
        <f t="shared" si="13"/>
        <v>504.20168067226894</v>
      </c>
      <c r="G277" s="1">
        <v>600</v>
      </c>
      <c r="H277" s="1">
        <f t="shared" si="14"/>
        <v>504.20168067226894</v>
      </c>
      <c r="I277" s="1">
        <v>600</v>
      </c>
      <c r="J277" s="15" t="s">
        <v>530</v>
      </c>
      <c r="K277" s="16">
        <v>45327</v>
      </c>
      <c r="L277" s="18">
        <v>5</v>
      </c>
    </row>
    <row r="278" spans="1:12" x14ac:dyDescent="0.2">
      <c r="A278" s="8" t="s">
        <v>778</v>
      </c>
      <c r="B278" s="12" t="s">
        <v>776</v>
      </c>
      <c r="C278" s="13">
        <v>24</v>
      </c>
      <c r="D278" s="14" t="s">
        <v>50</v>
      </c>
      <c r="E278" s="1">
        <v>300</v>
      </c>
      <c r="F278" s="1">
        <f t="shared" si="13"/>
        <v>504.20168067226894</v>
      </c>
      <c r="G278" s="1">
        <v>600</v>
      </c>
      <c r="H278" s="1">
        <f t="shared" si="14"/>
        <v>504.20168067226894</v>
      </c>
      <c r="I278" s="1">
        <v>600</v>
      </c>
      <c r="J278" s="15" t="s">
        <v>530</v>
      </c>
      <c r="K278" s="16">
        <v>45327</v>
      </c>
      <c r="L278" s="18">
        <v>5</v>
      </c>
    </row>
    <row r="279" spans="1:12" x14ac:dyDescent="0.2">
      <c r="A279" s="8" t="s">
        <v>779</v>
      </c>
      <c r="B279" s="12" t="s">
        <v>780</v>
      </c>
      <c r="C279" s="13">
        <v>10</v>
      </c>
      <c r="D279" s="14" t="s">
        <v>50</v>
      </c>
      <c r="E279" s="1">
        <v>800</v>
      </c>
      <c r="F279" s="1">
        <f t="shared" si="13"/>
        <v>1092.4369747899161</v>
      </c>
      <c r="G279" s="1">
        <v>1300</v>
      </c>
      <c r="H279" s="1">
        <f t="shared" si="14"/>
        <v>1092.4369747899161</v>
      </c>
      <c r="I279" s="1">
        <v>1300</v>
      </c>
      <c r="J279" s="15" t="s">
        <v>530</v>
      </c>
      <c r="K279" s="16">
        <v>45327</v>
      </c>
      <c r="L279" s="18">
        <v>4</v>
      </c>
    </row>
    <row r="280" spans="1:12" x14ac:dyDescent="0.2">
      <c r="A280" s="8" t="s">
        <v>783</v>
      </c>
      <c r="B280" s="12" t="s">
        <v>781</v>
      </c>
      <c r="C280" s="13">
        <v>24</v>
      </c>
      <c r="D280" s="14" t="s">
        <v>50</v>
      </c>
      <c r="E280" s="18">
        <v>300</v>
      </c>
      <c r="F280" s="1">
        <f t="shared" si="13"/>
        <v>504.20168067226894</v>
      </c>
      <c r="G280" s="1">
        <v>600</v>
      </c>
      <c r="H280" s="1">
        <f t="shared" si="14"/>
        <v>504.20168067226894</v>
      </c>
      <c r="I280" s="1">
        <v>600</v>
      </c>
      <c r="J280" s="15" t="s">
        <v>530</v>
      </c>
      <c r="K280" s="16">
        <v>45327</v>
      </c>
      <c r="L280" s="18">
        <v>24</v>
      </c>
    </row>
    <row r="281" spans="1:12" x14ac:dyDescent="0.2">
      <c r="A281" s="8" t="s">
        <v>784</v>
      </c>
      <c r="B281" s="12" t="s">
        <v>785</v>
      </c>
      <c r="C281" s="13">
        <v>24</v>
      </c>
      <c r="D281" s="14" t="s">
        <v>50</v>
      </c>
      <c r="E281" s="18">
        <v>300</v>
      </c>
      <c r="F281" s="1">
        <f t="shared" si="13"/>
        <v>504.20168067226894</v>
      </c>
      <c r="G281" s="1">
        <v>600</v>
      </c>
      <c r="H281" s="1">
        <f t="shared" si="14"/>
        <v>504.20168067226894</v>
      </c>
      <c r="I281" s="1">
        <v>600</v>
      </c>
      <c r="J281" s="15" t="s">
        <v>530</v>
      </c>
      <c r="K281" s="16">
        <v>45327</v>
      </c>
      <c r="L281" s="18">
        <v>10</v>
      </c>
    </row>
    <row r="282" spans="1:12" x14ac:dyDescent="0.2">
      <c r="A282" s="8" t="s">
        <v>565</v>
      </c>
      <c r="B282" s="12" t="s">
        <v>786</v>
      </c>
      <c r="C282" s="13">
        <v>12</v>
      </c>
      <c r="D282" s="14" t="s">
        <v>50</v>
      </c>
      <c r="E282" s="1">
        <f>10636/12</f>
        <v>886.33333333333337</v>
      </c>
      <c r="F282" s="1">
        <f t="shared" si="13"/>
        <v>1176.4705882352941</v>
      </c>
      <c r="G282" s="1">
        <v>1400</v>
      </c>
      <c r="H282" s="1">
        <f t="shared" si="14"/>
        <v>1176.4705882352941</v>
      </c>
      <c r="I282" s="1">
        <v>1400</v>
      </c>
      <c r="J282" s="15" t="s">
        <v>530</v>
      </c>
      <c r="K282" s="16">
        <v>45327</v>
      </c>
      <c r="L282" s="18">
        <v>1</v>
      </c>
    </row>
    <row r="283" spans="1:12" x14ac:dyDescent="0.2">
      <c r="A283" s="8" t="s">
        <v>566</v>
      </c>
      <c r="B283" s="12" t="s">
        <v>787</v>
      </c>
      <c r="C283" s="13">
        <v>12</v>
      </c>
      <c r="D283" s="14" t="s">
        <v>50</v>
      </c>
      <c r="E283" s="1">
        <f>10636/12</f>
        <v>886.33333333333337</v>
      </c>
      <c r="F283" s="1">
        <f t="shared" si="13"/>
        <v>1176.4705882352941</v>
      </c>
      <c r="G283" s="1">
        <v>1400</v>
      </c>
      <c r="H283" s="1">
        <f t="shared" si="14"/>
        <v>1176.4705882352941</v>
      </c>
      <c r="I283" s="1">
        <v>1400</v>
      </c>
      <c r="J283" s="15" t="s">
        <v>530</v>
      </c>
      <c r="K283" s="16">
        <v>45327</v>
      </c>
      <c r="L283" s="18">
        <v>4</v>
      </c>
    </row>
    <row r="284" spans="1:12" x14ac:dyDescent="0.2">
      <c r="A284" s="8" t="s">
        <v>529</v>
      </c>
      <c r="B284" s="12" t="s">
        <v>788</v>
      </c>
      <c r="C284" s="13">
        <v>12</v>
      </c>
      <c r="D284" s="14" t="s">
        <v>50</v>
      </c>
      <c r="E284" s="1">
        <f>10636/12</f>
        <v>886.33333333333337</v>
      </c>
      <c r="F284" s="1">
        <f t="shared" si="13"/>
        <v>1176.4705882352941</v>
      </c>
      <c r="G284" s="1">
        <v>1400</v>
      </c>
      <c r="H284" s="1">
        <f t="shared" si="14"/>
        <v>1176.4705882352941</v>
      </c>
      <c r="I284" s="1">
        <v>1400</v>
      </c>
      <c r="J284" s="15" t="s">
        <v>530</v>
      </c>
      <c r="K284" s="16">
        <v>45327</v>
      </c>
      <c r="L284" s="18">
        <v>1</v>
      </c>
    </row>
    <row r="285" spans="1:12" x14ac:dyDescent="0.2">
      <c r="A285" s="8" t="s">
        <v>526</v>
      </c>
      <c r="B285" s="12" t="s">
        <v>789</v>
      </c>
      <c r="C285" s="13">
        <v>20</v>
      </c>
      <c r="D285" s="14" t="s">
        <v>50</v>
      </c>
      <c r="E285" s="1">
        <f>12474/20</f>
        <v>623.70000000000005</v>
      </c>
      <c r="F285" s="1">
        <f t="shared" si="13"/>
        <v>840.3361344537816</v>
      </c>
      <c r="G285" s="1">
        <v>1000</v>
      </c>
      <c r="H285" s="1">
        <f t="shared" si="14"/>
        <v>840.3361344537816</v>
      </c>
      <c r="I285" s="1">
        <v>1000</v>
      </c>
      <c r="J285" s="15" t="s">
        <v>530</v>
      </c>
      <c r="K285" s="16">
        <v>45293</v>
      </c>
      <c r="L285" s="18">
        <v>6</v>
      </c>
    </row>
    <row r="286" spans="1:12" x14ac:dyDescent="0.2">
      <c r="A286" s="8" t="s">
        <v>532</v>
      </c>
      <c r="B286" s="12" t="s">
        <v>790</v>
      </c>
      <c r="C286" s="13">
        <v>20</v>
      </c>
      <c r="D286" s="14" t="s">
        <v>50</v>
      </c>
      <c r="E286" s="1">
        <f>12474/20</f>
        <v>623.70000000000005</v>
      </c>
      <c r="F286" s="1">
        <f t="shared" si="13"/>
        <v>840.3361344537816</v>
      </c>
      <c r="G286" s="1">
        <v>1000</v>
      </c>
      <c r="H286" s="1">
        <f t="shared" si="14"/>
        <v>840.3361344537816</v>
      </c>
      <c r="I286" s="1">
        <v>1000</v>
      </c>
      <c r="J286" s="15" t="s">
        <v>530</v>
      </c>
      <c r="K286" s="16">
        <v>45306</v>
      </c>
      <c r="L286" s="18">
        <v>3</v>
      </c>
    </row>
    <row r="287" spans="1:12" x14ac:dyDescent="0.2">
      <c r="A287" s="8" t="s">
        <v>557</v>
      </c>
      <c r="B287" s="12" t="s">
        <v>558</v>
      </c>
      <c r="C287" s="13">
        <v>20</v>
      </c>
      <c r="D287" s="14" t="s">
        <v>50</v>
      </c>
      <c r="E287" s="1">
        <f>14444/20</f>
        <v>722.2</v>
      </c>
      <c r="F287" s="1">
        <f t="shared" si="13"/>
        <v>1008.4033613445379</v>
      </c>
      <c r="G287" s="1">
        <v>1200</v>
      </c>
      <c r="H287" s="1">
        <f t="shared" si="14"/>
        <v>1008.4033613445379</v>
      </c>
      <c r="I287" s="1">
        <v>1200</v>
      </c>
      <c r="J287" s="15" t="s">
        <v>530</v>
      </c>
      <c r="K287" s="16">
        <v>45327</v>
      </c>
      <c r="L287" s="18">
        <v>6</v>
      </c>
    </row>
    <row r="288" spans="1:12" x14ac:dyDescent="0.2">
      <c r="A288" s="8" t="s">
        <v>534</v>
      </c>
      <c r="B288" s="12" t="s">
        <v>782</v>
      </c>
      <c r="C288" s="13">
        <v>18</v>
      </c>
      <c r="D288" s="14" t="s">
        <v>50</v>
      </c>
      <c r="E288" s="1">
        <f>11226/18</f>
        <v>623.66666666666663</v>
      </c>
      <c r="F288" s="1">
        <f t="shared" si="13"/>
        <v>504.20168067226894</v>
      </c>
      <c r="G288" s="1">
        <v>600</v>
      </c>
      <c r="H288" s="1">
        <f t="shared" si="14"/>
        <v>504.20168067226894</v>
      </c>
      <c r="I288" s="1">
        <v>600</v>
      </c>
      <c r="J288" s="15" t="s">
        <v>530</v>
      </c>
      <c r="K288" s="16">
        <v>45306</v>
      </c>
      <c r="L288" s="18">
        <v>10</v>
      </c>
    </row>
    <row r="289" spans="1:12" x14ac:dyDescent="0.2">
      <c r="A289" s="8" t="s">
        <v>528</v>
      </c>
      <c r="B289" s="12" t="s">
        <v>546</v>
      </c>
      <c r="C289" s="13">
        <v>16</v>
      </c>
      <c r="D289" s="14" t="s">
        <v>50</v>
      </c>
      <c r="E289" s="1">
        <f>21008/16</f>
        <v>1313</v>
      </c>
      <c r="F289" s="1">
        <f t="shared" si="13"/>
        <v>1680.6722689075632</v>
      </c>
      <c r="G289" s="1">
        <v>2000</v>
      </c>
      <c r="H289" s="1">
        <f t="shared" si="14"/>
        <v>1680.6722689075632</v>
      </c>
      <c r="I289" s="1">
        <v>2000</v>
      </c>
      <c r="J289" s="15" t="s">
        <v>530</v>
      </c>
      <c r="K289" s="16">
        <v>45327</v>
      </c>
      <c r="L289" s="18">
        <v>6</v>
      </c>
    </row>
    <row r="290" spans="1:12" x14ac:dyDescent="0.2">
      <c r="A290" s="8" t="s">
        <v>555</v>
      </c>
      <c r="B290" s="12" t="s">
        <v>556</v>
      </c>
      <c r="C290" s="13">
        <v>18</v>
      </c>
      <c r="D290" s="14" t="s">
        <v>50</v>
      </c>
      <c r="E290" s="1">
        <f>14181/18</f>
        <v>787.83333333333337</v>
      </c>
      <c r="F290" s="1">
        <f t="shared" si="13"/>
        <v>1008.4033613445379</v>
      </c>
      <c r="G290" s="1">
        <v>1200</v>
      </c>
      <c r="H290" s="1">
        <f t="shared" si="14"/>
        <v>1008.4033613445379</v>
      </c>
      <c r="I290" s="1">
        <v>1200</v>
      </c>
      <c r="J290" s="15" t="s">
        <v>530</v>
      </c>
      <c r="K290" s="16">
        <v>45327</v>
      </c>
      <c r="L290" s="18">
        <v>5</v>
      </c>
    </row>
    <row r="291" spans="1:12" x14ac:dyDescent="0.2">
      <c r="A291" s="8" t="s">
        <v>533</v>
      </c>
      <c r="B291" s="12" t="s">
        <v>544</v>
      </c>
      <c r="C291" s="13">
        <v>21</v>
      </c>
      <c r="D291" s="14" t="s">
        <v>50</v>
      </c>
      <c r="E291" s="1">
        <f>7582/21</f>
        <v>361.04761904761904</v>
      </c>
      <c r="F291" s="1">
        <f t="shared" si="13"/>
        <v>504.20168067226894</v>
      </c>
      <c r="G291" s="1">
        <v>600</v>
      </c>
      <c r="H291" s="1">
        <f t="shared" si="14"/>
        <v>504.20168067226894</v>
      </c>
      <c r="I291" s="1">
        <v>600</v>
      </c>
      <c r="J291" s="15" t="s">
        <v>530</v>
      </c>
      <c r="K291" s="16">
        <v>45306</v>
      </c>
      <c r="L291" s="18">
        <v>12</v>
      </c>
    </row>
    <row r="292" spans="1:12" x14ac:dyDescent="0.2">
      <c r="A292" s="8" t="s">
        <v>527</v>
      </c>
      <c r="B292" s="12" t="s">
        <v>545</v>
      </c>
      <c r="C292" s="13">
        <v>22</v>
      </c>
      <c r="D292" s="14" t="s">
        <v>50</v>
      </c>
      <c r="E292" s="1">
        <f>5061/22</f>
        <v>230.04545454545453</v>
      </c>
      <c r="F292" s="1">
        <f t="shared" si="13"/>
        <v>336.1344537815126</v>
      </c>
      <c r="G292" s="1">
        <v>400</v>
      </c>
      <c r="H292" s="1">
        <f t="shared" si="14"/>
        <v>336.1344537815126</v>
      </c>
      <c r="I292" s="1">
        <v>400</v>
      </c>
      <c r="J292" s="15" t="s">
        <v>530</v>
      </c>
      <c r="K292" s="16">
        <v>45327</v>
      </c>
      <c r="L292" s="18">
        <v>10</v>
      </c>
    </row>
    <row r="293" spans="1:12" x14ac:dyDescent="0.2">
      <c r="A293" s="8" t="s">
        <v>559</v>
      </c>
      <c r="B293" s="12" t="s">
        <v>560</v>
      </c>
      <c r="C293" s="13">
        <v>22</v>
      </c>
      <c r="D293" s="14" t="s">
        <v>50</v>
      </c>
      <c r="E293" s="1">
        <f>5061/22</f>
        <v>230.04545454545453</v>
      </c>
      <c r="F293" s="1">
        <f t="shared" si="13"/>
        <v>336.1344537815126</v>
      </c>
      <c r="G293" s="1">
        <v>400</v>
      </c>
      <c r="H293" s="1">
        <f t="shared" si="14"/>
        <v>336.1344537815126</v>
      </c>
      <c r="I293" s="1">
        <v>400</v>
      </c>
      <c r="J293" s="15" t="s">
        <v>530</v>
      </c>
      <c r="K293" s="16">
        <v>45327</v>
      </c>
      <c r="L293" s="18">
        <v>10</v>
      </c>
    </row>
    <row r="294" spans="1:12" x14ac:dyDescent="0.2">
      <c r="A294" s="8" t="s">
        <v>563</v>
      </c>
      <c r="B294" s="12" t="s">
        <v>564</v>
      </c>
      <c r="C294" s="13">
        <v>22</v>
      </c>
      <c r="D294" s="14" t="s">
        <v>50</v>
      </c>
      <c r="E294" s="1">
        <f>5061/22</f>
        <v>230.04545454545453</v>
      </c>
      <c r="F294" s="1">
        <f t="shared" si="13"/>
        <v>336.1344537815126</v>
      </c>
      <c r="G294" s="1">
        <v>400</v>
      </c>
      <c r="H294" s="1">
        <f t="shared" si="14"/>
        <v>336.1344537815126</v>
      </c>
      <c r="I294" s="1">
        <v>400</v>
      </c>
      <c r="J294" s="15" t="s">
        <v>530</v>
      </c>
      <c r="K294" s="16">
        <v>45327</v>
      </c>
      <c r="L294" s="18">
        <v>10</v>
      </c>
    </row>
    <row r="295" spans="1:12" x14ac:dyDescent="0.2">
      <c r="A295" s="8" t="s">
        <v>561</v>
      </c>
      <c r="B295" s="12" t="s">
        <v>562</v>
      </c>
      <c r="C295" s="13">
        <v>22</v>
      </c>
      <c r="D295" s="14" t="s">
        <v>50</v>
      </c>
      <c r="E295" s="1">
        <f>5061/22</f>
        <v>230.04545454545453</v>
      </c>
      <c r="F295" s="1">
        <f t="shared" si="13"/>
        <v>336.1344537815126</v>
      </c>
      <c r="G295" s="1">
        <v>400</v>
      </c>
      <c r="H295" s="1">
        <f t="shared" si="14"/>
        <v>336.1344537815126</v>
      </c>
      <c r="I295" s="1">
        <v>400</v>
      </c>
      <c r="J295" s="15" t="s">
        <v>530</v>
      </c>
      <c r="K295" s="16">
        <v>45327</v>
      </c>
      <c r="L295" s="18">
        <v>6</v>
      </c>
    </row>
    <row r="296" spans="1:12" x14ac:dyDescent="0.2">
      <c r="A296" s="8">
        <v>7804947005202</v>
      </c>
      <c r="B296" s="12" t="s">
        <v>710</v>
      </c>
      <c r="C296" s="13">
        <v>12</v>
      </c>
      <c r="D296" s="14" t="s">
        <v>50</v>
      </c>
      <c r="E296" s="2">
        <v>890</v>
      </c>
      <c r="F296" s="1">
        <f t="shared" si="13"/>
        <v>1260.5042016806724</v>
      </c>
      <c r="G296" s="2">
        <v>1500</v>
      </c>
      <c r="H296" s="1">
        <f t="shared" si="14"/>
        <v>1176.4705882352941</v>
      </c>
      <c r="I296" s="2">
        <v>1400</v>
      </c>
      <c r="J296" s="18" t="s">
        <v>39</v>
      </c>
      <c r="K296" s="16">
        <v>45131</v>
      </c>
      <c r="L296" s="18">
        <v>117</v>
      </c>
    </row>
    <row r="297" spans="1:12" x14ac:dyDescent="0.2">
      <c r="A297" s="22">
        <v>6937379468695</v>
      </c>
      <c r="B297" s="12" t="s">
        <v>73</v>
      </c>
      <c r="C297" s="13">
        <v>24</v>
      </c>
      <c r="D297" s="14" t="s">
        <v>50</v>
      </c>
      <c r="E297" s="2">
        <f>(48705.3/4)/12</f>
        <v>1014.69375</v>
      </c>
      <c r="F297" s="1">
        <f t="shared" si="13"/>
        <v>1386.5546218487395</v>
      </c>
      <c r="G297" s="2">
        <v>1650</v>
      </c>
      <c r="H297" s="1">
        <f t="shared" si="14"/>
        <v>1327.7310924369749</v>
      </c>
      <c r="I297" s="2">
        <v>1580</v>
      </c>
      <c r="J297" s="18" t="s">
        <v>36</v>
      </c>
      <c r="K297" s="16">
        <v>44698</v>
      </c>
      <c r="L297" s="18">
        <v>217</v>
      </c>
    </row>
    <row r="298" spans="1:12" x14ac:dyDescent="0.2">
      <c r="A298" s="9">
        <v>3894143695615</v>
      </c>
      <c r="B298" s="12" t="s">
        <v>542</v>
      </c>
      <c r="C298" s="13">
        <v>50</v>
      </c>
      <c r="D298" s="14" t="s">
        <v>50</v>
      </c>
      <c r="E298" s="2">
        <f>790/1.9</f>
        <v>415.78947368421052</v>
      </c>
      <c r="F298" s="1">
        <f t="shared" si="13"/>
        <v>714.28571428571433</v>
      </c>
      <c r="G298" s="2">
        <v>850</v>
      </c>
      <c r="H298" s="1">
        <f t="shared" si="14"/>
        <v>672.26890756302521</v>
      </c>
      <c r="I298" s="2">
        <v>800</v>
      </c>
      <c r="J298" s="18" t="s">
        <v>89</v>
      </c>
      <c r="K298" s="16">
        <v>45408</v>
      </c>
      <c r="L298" s="18">
        <v>15</v>
      </c>
    </row>
    <row r="299" spans="1:12" x14ac:dyDescent="0.2">
      <c r="A299" s="22">
        <v>7802800556526</v>
      </c>
      <c r="B299" s="12" t="s">
        <v>428</v>
      </c>
      <c r="C299" s="13">
        <v>1</v>
      </c>
      <c r="D299" s="14" t="s">
        <v>50</v>
      </c>
      <c r="E299" s="2">
        <v>1913</v>
      </c>
      <c r="F299" s="1">
        <f t="shared" si="13"/>
        <v>1806.7226890756303</v>
      </c>
      <c r="G299" s="2">
        <v>2150</v>
      </c>
      <c r="H299" s="1">
        <f t="shared" si="14"/>
        <v>1680.6722689075632</v>
      </c>
      <c r="I299" s="2">
        <v>2000</v>
      </c>
      <c r="J299" s="18" t="s">
        <v>30</v>
      </c>
      <c r="K299" s="16">
        <v>45370</v>
      </c>
      <c r="L299" s="18">
        <v>3</v>
      </c>
    </row>
    <row r="300" spans="1:12" x14ac:dyDescent="0.2">
      <c r="A300" s="22">
        <v>7802800556519</v>
      </c>
      <c r="B300" s="12" t="s">
        <v>427</v>
      </c>
      <c r="C300" s="13">
        <v>1</v>
      </c>
      <c r="D300" s="14" t="s">
        <v>50</v>
      </c>
      <c r="E300" s="2">
        <v>1913</v>
      </c>
      <c r="F300" s="1">
        <f t="shared" si="13"/>
        <v>1806.7226890756303</v>
      </c>
      <c r="G300" s="2">
        <v>2150</v>
      </c>
      <c r="H300" s="1">
        <f t="shared" si="14"/>
        <v>1680.6722689075632</v>
      </c>
      <c r="I300" s="2">
        <v>2000</v>
      </c>
      <c r="J300" s="18" t="s">
        <v>30</v>
      </c>
      <c r="K300" s="16">
        <v>45370</v>
      </c>
      <c r="L300" s="18">
        <v>5</v>
      </c>
    </row>
    <row r="301" spans="1:12" x14ac:dyDescent="0.2">
      <c r="A301" s="8">
        <v>7802800556502</v>
      </c>
      <c r="B301" s="12" t="s">
        <v>426</v>
      </c>
      <c r="C301" s="13">
        <v>1</v>
      </c>
      <c r="D301" s="14" t="s">
        <v>50</v>
      </c>
      <c r="E301" s="2">
        <v>1913</v>
      </c>
      <c r="F301" s="1">
        <f t="shared" si="13"/>
        <v>1806.7226890756303</v>
      </c>
      <c r="G301" s="2">
        <v>2150</v>
      </c>
      <c r="H301" s="1">
        <f t="shared" si="14"/>
        <v>1680.6722689075632</v>
      </c>
      <c r="I301" s="2">
        <v>2000</v>
      </c>
      <c r="J301" s="18" t="s">
        <v>30</v>
      </c>
      <c r="K301" s="16">
        <v>45370</v>
      </c>
      <c r="L301" s="18">
        <v>3</v>
      </c>
    </row>
    <row r="302" spans="1:12" x14ac:dyDescent="0.2">
      <c r="A302" s="8">
        <v>7804947003826</v>
      </c>
      <c r="B302" s="12" t="s">
        <v>242</v>
      </c>
      <c r="C302" s="13">
        <v>6</v>
      </c>
      <c r="D302" s="14" t="s">
        <v>50</v>
      </c>
      <c r="E302" s="2">
        <v>1690</v>
      </c>
      <c r="F302" s="1">
        <f t="shared" si="13"/>
        <v>1613.4453781512607</v>
      </c>
      <c r="G302" s="2">
        <v>1920</v>
      </c>
      <c r="H302" s="1">
        <f t="shared" si="14"/>
        <v>1554.6218487394958</v>
      </c>
      <c r="I302" s="2">
        <v>1850</v>
      </c>
      <c r="J302" s="18" t="s">
        <v>39</v>
      </c>
      <c r="K302" s="16">
        <v>44620</v>
      </c>
      <c r="L302" s="18">
        <v>330</v>
      </c>
    </row>
    <row r="303" spans="1:12" x14ac:dyDescent="0.2">
      <c r="A303" s="8">
        <v>7804947003888</v>
      </c>
      <c r="B303" s="12" t="s">
        <v>243</v>
      </c>
      <c r="C303" s="13">
        <v>6</v>
      </c>
      <c r="D303" s="14" t="s">
        <v>50</v>
      </c>
      <c r="E303" s="2">
        <v>1690</v>
      </c>
      <c r="F303" s="1">
        <f t="shared" si="13"/>
        <v>1613.4453781512607</v>
      </c>
      <c r="G303" s="2">
        <v>1920</v>
      </c>
      <c r="H303" s="1">
        <f t="shared" si="14"/>
        <v>1554.6218487394958</v>
      </c>
      <c r="I303" s="2">
        <v>1850</v>
      </c>
      <c r="J303" s="18" t="s">
        <v>39</v>
      </c>
      <c r="K303" s="16">
        <v>44620</v>
      </c>
      <c r="L303" s="18">
        <v>407</v>
      </c>
    </row>
    <row r="304" spans="1:12" x14ac:dyDescent="0.2">
      <c r="A304" s="8">
        <v>7804947003840</v>
      </c>
      <c r="B304" s="12" t="s">
        <v>244</v>
      </c>
      <c r="C304" s="13">
        <v>6</v>
      </c>
      <c r="D304" s="14" t="s">
        <v>50</v>
      </c>
      <c r="E304" s="2">
        <v>1690</v>
      </c>
      <c r="F304" s="1">
        <f t="shared" si="13"/>
        <v>1613.4453781512607</v>
      </c>
      <c r="G304" s="2">
        <v>1920</v>
      </c>
      <c r="H304" s="1">
        <f t="shared" si="14"/>
        <v>1554.6218487394958</v>
      </c>
      <c r="I304" s="2">
        <v>1850</v>
      </c>
      <c r="J304" s="18" t="s">
        <v>39</v>
      </c>
      <c r="K304" s="16">
        <v>44620</v>
      </c>
      <c r="L304" s="18">
        <v>124</v>
      </c>
    </row>
    <row r="305" spans="1:12" x14ac:dyDescent="0.2">
      <c r="A305" s="9">
        <v>6971682502738</v>
      </c>
      <c r="B305" s="12" t="s">
        <v>601</v>
      </c>
      <c r="C305" s="13">
        <v>1</v>
      </c>
      <c r="D305" s="14" t="s">
        <v>50</v>
      </c>
      <c r="E305" s="21">
        <v>2044</v>
      </c>
      <c r="F305" s="1">
        <f t="shared" si="13"/>
        <v>2352.9411764705883</v>
      </c>
      <c r="G305" s="21">
        <v>2800</v>
      </c>
      <c r="H305" s="1">
        <f t="shared" si="14"/>
        <v>2277.3109243697481</v>
      </c>
      <c r="I305" s="21">
        <v>2710</v>
      </c>
      <c r="J305" s="18" t="s">
        <v>599</v>
      </c>
      <c r="K305" s="16">
        <v>45372</v>
      </c>
      <c r="L305" s="18">
        <v>3</v>
      </c>
    </row>
    <row r="306" spans="1:12" x14ac:dyDescent="0.2">
      <c r="A306" s="9">
        <v>6971682502714</v>
      </c>
      <c r="B306" s="12" t="s">
        <v>602</v>
      </c>
      <c r="C306" s="13">
        <v>1</v>
      </c>
      <c r="D306" s="14" t="s">
        <v>50</v>
      </c>
      <c r="E306" s="21">
        <v>2044</v>
      </c>
      <c r="F306" s="1">
        <f t="shared" si="13"/>
        <v>2352.9411764705883</v>
      </c>
      <c r="G306" s="21">
        <v>2800</v>
      </c>
      <c r="H306" s="1">
        <f t="shared" si="14"/>
        <v>2277.3109243697481</v>
      </c>
      <c r="I306" s="21">
        <v>2710</v>
      </c>
      <c r="J306" s="18" t="s">
        <v>599</v>
      </c>
      <c r="K306" s="16">
        <v>45372</v>
      </c>
      <c r="L306" s="18">
        <v>3</v>
      </c>
    </row>
    <row r="307" spans="1:12" x14ac:dyDescent="0.2">
      <c r="A307" s="9">
        <v>8999999527709</v>
      </c>
      <c r="B307" s="20" t="s">
        <v>218</v>
      </c>
      <c r="C307" s="13">
        <v>1</v>
      </c>
      <c r="D307" s="14" t="s">
        <v>50</v>
      </c>
      <c r="E307" s="2">
        <f>350/1.19</f>
        <v>294.11764705882354</v>
      </c>
      <c r="F307" s="1">
        <f t="shared" si="13"/>
        <v>394.9579831932773</v>
      </c>
      <c r="G307" s="2">
        <v>470</v>
      </c>
      <c r="H307" s="1">
        <f t="shared" si="14"/>
        <v>378.15126050420167</v>
      </c>
      <c r="I307" s="2">
        <v>450</v>
      </c>
      <c r="J307" s="18" t="s">
        <v>19</v>
      </c>
      <c r="K307" s="16">
        <v>45434</v>
      </c>
      <c r="L307" s="18">
        <v>90</v>
      </c>
    </row>
    <row r="308" spans="1:12" x14ac:dyDescent="0.2">
      <c r="A308" s="8">
        <v>7791293036557</v>
      </c>
      <c r="B308" s="12" t="s">
        <v>627</v>
      </c>
      <c r="C308" s="13">
        <v>12</v>
      </c>
      <c r="D308" s="14" t="s">
        <v>50</v>
      </c>
      <c r="E308" s="1">
        <f>509/1.19</f>
        <v>427.73109243697479</v>
      </c>
      <c r="F308" s="1">
        <f t="shared" si="13"/>
        <v>621.84873949579833</v>
      </c>
      <c r="G308" s="1">
        <v>740</v>
      </c>
      <c r="H308" s="1">
        <f t="shared" si="14"/>
        <v>596.63865546218494</v>
      </c>
      <c r="I308" s="1">
        <v>710</v>
      </c>
      <c r="J308" s="18" t="s">
        <v>353</v>
      </c>
      <c r="K308" s="16">
        <v>45406</v>
      </c>
      <c r="L308" s="18">
        <v>5</v>
      </c>
    </row>
    <row r="309" spans="1:12" x14ac:dyDescent="0.2">
      <c r="A309" s="8">
        <v>7804947006179</v>
      </c>
      <c r="B309" s="12" t="s">
        <v>717</v>
      </c>
      <c r="C309" s="13">
        <v>12</v>
      </c>
      <c r="D309" s="14" t="s">
        <v>50</v>
      </c>
      <c r="E309" s="2">
        <v>900</v>
      </c>
      <c r="F309" s="1">
        <f t="shared" si="13"/>
        <v>840.3361344537816</v>
      </c>
      <c r="G309" s="2">
        <v>1000</v>
      </c>
      <c r="H309" s="1">
        <f t="shared" si="14"/>
        <v>840.3361344537816</v>
      </c>
      <c r="I309" s="2">
        <v>1000</v>
      </c>
      <c r="J309" s="18" t="s">
        <v>39</v>
      </c>
      <c r="K309" s="16">
        <v>45131</v>
      </c>
      <c r="L309" s="18">
        <v>19</v>
      </c>
    </row>
    <row r="310" spans="1:12" x14ac:dyDescent="0.2">
      <c r="A310" s="8">
        <v>7805045001080</v>
      </c>
      <c r="B310" s="20" t="s">
        <v>28</v>
      </c>
      <c r="C310" s="13">
        <v>12</v>
      </c>
      <c r="D310" s="14" t="s">
        <v>50</v>
      </c>
      <c r="E310" s="2">
        <f>740/1.19</f>
        <v>621.84873949579833</v>
      </c>
      <c r="F310" s="1">
        <f t="shared" si="13"/>
        <v>815.1260504201681</v>
      </c>
      <c r="G310" s="2">
        <v>970</v>
      </c>
      <c r="H310" s="1">
        <f t="shared" si="14"/>
        <v>789.9159663865546</v>
      </c>
      <c r="I310" s="2">
        <v>940</v>
      </c>
      <c r="J310" s="18" t="s">
        <v>19</v>
      </c>
      <c r="K310" s="16">
        <v>45320</v>
      </c>
      <c r="L310" s="18">
        <v>24</v>
      </c>
    </row>
    <row r="311" spans="1:12" x14ac:dyDescent="0.2">
      <c r="A311" s="9">
        <v>7804655191419</v>
      </c>
      <c r="B311" s="12" t="s">
        <v>216</v>
      </c>
      <c r="C311" s="13">
        <v>40</v>
      </c>
      <c r="D311" s="14" t="s">
        <v>50</v>
      </c>
      <c r="E311" s="2">
        <f>18151/40</f>
        <v>453.77499999999998</v>
      </c>
      <c r="F311" s="1">
        <f t="shared" si="13"/>
        <v>613.44537815126057</v>
      </c>
      <c r="G311" s="2">
        <v>730</v>
      </c>
      <c r="H311" s="1">
        <f t="shared" si="14"/>
        <v>588.23529411764707</v>
      </c>
      <c r="I311" s="2">
        <v>700</v>
      </c>
      <c r="J311" s="18" t="s">
        <v>29</v>
      </c>
      <c r="K311" s="16">
        <v>44711</v>
      </c>
      <c r="L311" s="18">
        <v>52</v>
      </c>
    </row>
    <row r="312" spans="1:12" x14ac:dyDescent="0.2">
      <c r="A312" s="9">
        <v>7804655191426</v>
      </c>
      <c r="B312" s="12" t="s">
        <v>217</v>
      </c>
      <c r="C312" s="13">
        <v>40</v>
      </c>
      <c r="D312" s="14" t="s">
        <v>50</v>
      </c>
      <c r="E312" s="2">
        <f>18151/40</f>
        <v>453.77499999999998</v>
      </c>
      <c r="F312" s="1">
        <f t="shared" si="13"/>
        <v>613.44537815126057</v>
      </c>
      <c r="G312" s="2">
        <v>730</v>
      </c>
      <c r="H312" s="1">
        <f t="shared" si="14"/>
        <v>588.23529411764707</v>
      </c>
      <c r="I312" s="2">
        <v>700</v>
      </c>
      <c r="J312" s="18" t="s">
        <v>29</v>
      </c>
      <c r="K312" s="16">
        <v>44711</v>
      </c>
      <c r="L312" s="18">
        <v>226</v>
      </c>
    </row>
    <row r="313" spans="1:12" x14ac:dyDescent="0.2">
      <c r="A313" s="9">
        <v>8999999527716</v>
      </c>
      <c r="B313" s="20" t="s">
        <v>219</v>
      </c>
      <c r="C313" s="13">
        <v>1</v>
      </c>
      <c r="D313" s="14" t="s">
        <v>50</v>
      </c>
      <c r="E313" s="2">
        <f>350/1.19</f>
        <v>294.11764705882354</v>
      </c>
      <c r="F313" s="1">
        <f t="shared" si="13"/>
        <v>394.9579831932773</v>
      </c>
      <c r="G313" s="2">
        <v>470</v>
      </c>
      <c r="H313" s="1">
        <f t="shared" si="14"/>
        <v>378.15126050420167</v>
      </c>
      <c r="I313" s="2">
        <v>450</v>
      </c>
      <c r="J313" s="18" t="s">
        <v>19</v>
      </c>
      <c r="K313" s="16">
        <v>45434</v>
      </c>
      <c r="L313" s="18">
        <v>86</v>
      </c>
    </row>
    <row r="314" spans="1:12" x14ac:dyDescent="0.2">
      <c r="A314" s="8">
        <v>7802410101871</v>
      </c>
      <c r="B314" s="12" t="s">
        <v>361</v>
      </c>
      <c r="C314" s="13">
        <v>50</v>
      </c>
      <c r="D314" s="14" t="s">
        <v>50</v>
      </c>
      <c r="E314" s="1">
        <f>12000/50</f>
        <v>240</v>
      </c>
      <c r="F314" s="1">
        <f t="shared" si="13"/>
        <v>327.73109243697479</v>
      </c>
      <c r="G314" s="1">
        <v>390</v>
      </c>
      <c r="H314" s="1">
        <f t="shared" si="14"/>
        <v>319.32773109243698</v>
      </c>
      <c r="I314" s="1">
        <v>380</v>
      </c>
      <c r="J314" s="15" t="s">
        <v>357</v>
      </c>
      <c r="K314" s="16">
        <v>44902</v>
      </c>
      <c r="L314" s="18">
        <v>15</v>
      </c>
    </row>
    <row r="315" spans="1:12" x14ac:dyDescent="0.2">
      <c r="A315" s="8">
        <v>7804611550434</v>
      </c>
      <c r="B315" s="20" t="s">
        <v>457</v>
      </c>
      <c r="C315" s="13">
        <v>24</v>
      </c>
      <c r="D315" s="14" t="s">
        <v>50</v>
      </c>
      <c r="E315" s="2">
        <f>17728/24</f>
        <v>738.66666666666663</v>
      </c>
      <c r="F315" s="1">
        <f t="shared" si="13"/>
        <v>966.38655462184875</v>
      </c>
      <c r="G315" s="2">
        <v>1150</v>
      </c>
      <c r="H315" s="1">
        <f t="shared" si="14"/>
        <v>924.36974789915973</v>
      </c>
      <c r="I315" s="2">
        <v>1100</v>
      </c>
      <c r="J315" s="18" t="s">
        <v>458</v>
      </c>
      <c r="K315" s="16">
        <v>45055</v>
      </c>
      <c r="L315" s="18">
        <v>6</v>
      </c>
    </row>
    <row r="316" spans="1:12" x14ac:dyDescent="0.2">
      <c r="A316" s="8">
        <v>7804947005158</v>
      </c>
      <c r="B316" s="12" t="s">
        <v>220</v>
      </c>
      <c r="C316" s="13">
        <v>1</v>
      </c>
      <c r="D316" s="14" t="s">
        <v>50</v>
      </c>
      <c r="E316" s="2">
        <v>10990</v>
      </c>
      <c r="F316" s="1">
        <f t="shared" si="13"/>
        <v>8403.361344537816</v>
      </c>
      <c r="G316" s="2">
        <v>10000</v>
      </c>
      <c r="H316" s="1">
        <f t="shared" si="14"/>
        <v>8403.361344537816</v>
      </c>
      <c r="I316" s="2">
        <v>10000</v>
      </c>
      <c r="J316" s="18" t="s">
        <v>39</v>
      </c>
      <c r="K316" s="16">
        <v>44236</v>
      </c>
      <c r="L316" s="18">
        <v>1</v>
      </c>
    </row>
    <row r="317" spans="1:12" x14ac:dyDescent="0.2">
      <c r="A317" s="22">
        <v>7804612221934</v>
      </c>
      <c r="B317" s="12" t="s">
        <v>597</v>
      </c>
      <c r="C317" s="13">
        <v>1</v>
      </c>
      <c r="D317" s="14" t="s">
        <v>50</v>
      </c>
      <c r="E317" s="2">
        <v>970</v>
      </c>
      <c r="F317" s="1">
        <f t="shared" si="13"/>
        <v>1344.5378151260504</v>
      </c>
      <c r="G317" s="2">
        <v>1600</v>
      </c>
      <c r="H317" s="1">
        <f t="shared" si="14"/>
        <v>1294.1176470588236</v>
      </c>
      <c r="I317" s="2">
        <v>1540</v>
      </c>
      <c r="J317" s="18" t="s">
        <v>592</v>
      </c>
      <c r="K317" s="16">
        <v>45409</v>
      </c>
      <c r="L317" s="18">
        <v>3</v>
      </c>
    </row>
    <row r="318" spans="1:12" x14ac:dyDescent="0.2">
      <c r="A318" s="9">
        <v>7805000322502</v>
      </c>
      <c r="B318" s="19" t="s">
        <v>571</v>
      </c>
      <c r="C318" s="13">
        <v>12</v>
      </c>
      <c r="D318" s="14" t="s">
        <v>50</v>
      </c>
      <c r="E318" s="2">
        <f>109104/48</f>
        <v>2273</v>
      </c>
      <c r="F318" s="1">
        <f t="shared" si="13"/>
        <v>3042.0168067226891</v>
      </c>
      <c r="G318" s="2">
        <v>3620</v>
      </c>
      <c r="H318" s="1">
        <f t="shared" si="14"/>
        <v>2924.3697478991598</v>
      </c>
      <c r="I318" s="2">
        <v>3480</v>
      </c>
      <c r="J318" s="18" t="s">
        <v>353</v>
      </c>
      <c r="K318" s="16">
        <v>45348</v>
      </c>
      <c r="L318" s="18">
        <v>24</v>
      </c>
    </row>
    <row r="319" spans="1:12" x14ac:dyDescent="0.2">
      <c r="A319" s="8">
        <v>7805040004291</v>
      </c>
      <c r="B319" s="12" t="s">
        <v>71</v>
      </c>
      <c r="C319" s="13">
        <v>12</v>
      </c>
      <c r="D319" s="14" t="s">
        <v>50</v>
      </c>
      <c r="E319" s="2">
        <f>21268/12</f>
        <v>1772.3333333333333</v>
      </c>
      <c r="F319" s="1">
        <f t="shared" si="13"/>
        <v>2310.9243697478992</v>
      </c>
      <c r="G319" s="2">
        <v>2750</v>
      </c>
      <c r="H319" s="1">
        <f t="shared" si="14"/>
        <v>2226.8907563025209</v>
      </c>
      <c r="I319" s="2">
        <v>2650</v>
      </c>
      <c r="J319" s="18" t="s">
        <v>34</v>
      </c>
      <c r="K319" s="16">
        <v>45328</v>
      </c>
      <c r="L319" s="18">
        <v>6</v>
      </c>
    </row>
    <row r="320" spans="1:12" x14ac:dyDescent="0.2">
      <c r="A320" s="8">
        <v>7805040004307</v>
      </c>
      <c r="B320" s="12" t="s">
        <v>145</v>
      </c>
      <c r="C320" s="13">
        <v>12</v>
      </c>
      <c r="D320" s="14" t="s">
        <v>50</v>
      </c>
      <c r="E320" s="2">
        <f>21268/12</f>
        <v>1772.3333333333333</v>
      </c>
      <c r="F320" s="1">
        <f t="shared" si="13"/>
        <v>2310.9243697478992</v>
      </c>
      <c r="G320" s="2">
        <v>2750</v>
      </c>
      <c r="H320" s="1">
        <f t="shared" si="14"/>
        <v>2226.8907563025209</v>
      </c>
      <c r="I320" s="2">
        <v>2650</v>
      </c>
      <c r="J320" s="18" t="s">
        <v>34</v>
      </c>
      <c r="K320" s="16">
        <v>45328</v>
      </c>
      <c r="L320" s="18">
        <v>39</v>
      </c>
    </row>
    <row r="321" spans="1:12" x14ac:dyDescent="0.2">
      <c r="A321" s="8">
        <v>7805040004314</v>
      </c>
      <c r="B321" s="12" t="s">
        <v>70</v>
      </c>
      <c r="C321" s="13">
        <v>12</v>
      </c>
      <c r="D321" s="14" t="s">
        <v>50</v>
      </c>
      <c r="E321" s="2">
        <f>21268/12</f>
        <v>1772.3333333333333</v>
      </c>
      <c r="F321" s="1">
        <f t="shared" si="13"/>
        <v>2310.9243697478992</v>
      </c>
      <c r="G321" s="2">
        <v>2750</v>
      </c>
      <c r="H321" s="1">
        <f t="shared" si="14"/>
        <v>2226.8907563025209</v>
      </c>
      <c r="I321" s="2">
        <v>2650</v>
      </c>
      <c r="J321" s="18" t="s">
        <v>34</v>
      </c>
      <c r="K321" s="16">
        <v>45328</v>
      </c>
      <c r="L321" s="18">
        <v>12</v>
      </c>
    </row>
    <row r="322" spans="1:12" x14ac:dyDescent="0.2">
      <c r="A322" s="9">
        <v>7802800533589</v>
      </c>
      <c r="B322" s="12" t="s">
        <v>224</v>
      </c>
      <c r="C322" s="13">
        <v>12</v>
      </c>
      <c r="D322" s="14" t="s">
        <v>50</v>
      </c>
      <c r="E322" s="2">
        <v>1210</v>
      </c>
      <c r="F322" s="1">
        <f t="shared" si="13"/>
        <v>1310.9243697478992</v>
      </c>
      <c r="G322" s="2">
        <v>1560</v>
      </c>
      <c r="H322" s="1">
        <f t="shared" si="14"/>
        <v>1260.5042016806724</v>
      </c>
      <c r="I322" s="2">
        <v>1500</v>
      </c>
      <c r="J322" s="18" t="s">
        <v>30</v>
      </c>
      <c r="K322" s="16">
        <v>45492</v>
      </c>
      <c r="L322" s="18">
        <v>14</v>
      </c>
    </row>
    <row r="323" spans="1:12" x14ac:dyDescent="0.2">
      <c r="A323" s="9">
        <v>7802800533565</v>
      </c>
      <c r="B323" s="12" t="s">
        <v>221</v>
      </c>
      <c r="C323" s="13">
        <v>12</v>
      </c>
      <c r="D323" s="14" t="s">
        <v>50</v>
      </c>
      <c r="E323" s="2">
        <f>1450/1.19</f>
        <v>1218.4873949579833</v>
      </c>
      <c r="F323" s="1">
        <f t="shared" ref="F323:F386" si="15">G323/1.19</f>
        <v>1310.9243697478992</v>
      </c>
      <c r="G323" s="2">
        <v>1560</v>
      </c>
      <c r="H323" s="1">
        <f t="shared" ref="H323:H386" si="16">I323/1.19</f>
        <v>1260.5042016806724</v>
      </c>
      <c r="I323" s="2">
        <v>1500</v>
      </c>
      <c r="J323" s="18" t="s">
        <v>30</v>
      </c>
      <c r="K323" s="16">
        <v>45426</v>
      </c>
      <c r="L323" s="18">
        <v>15</v>
      </c>
    </row>
    <row r="324" spans="1:12" x14ac:dyDescent="0.2">
      <c r="A324" s="9">
        <v>7802800535569</v>
      </c>
      <c r="B324" s="12" t="s">
        <v>222</v>
      </c>
      <c r="C324" s="13">
        <v>6</v>
      </c>
      <c r="D324" s="14" t="s">
        <v>50</v>
      </c>
      <c r="E324" s="2">
        <v>400</v>
      </c>
      <c r="F324" s="1">
        <f t="shared" si="15"/>
        <v>495.79831932773112</v>
      </c>
      <c r="G324" s="2">
        <v>590</v>
      </c>
      <c r="H324" s="1">
        <f t="shared" si="16"/>
        <v>420.1680672268908</v>
      </c>
      <c r="I324" s="2">
        <v>500</v>
      </c>
      <c r="J324" s="18" t="s">
        <v>30</v>
      </c>
      <c r="K324" s="16">
        <v>45351</v>
      </c>
      <c r="L324" s="17">
        <v>18</v>
      </c>
    </row>
    <row r="325" spans="1:12" x14ac:dyDescent="0.2">
      <c r="A325" s="9">
        <v>7802800635597</v>
      </c>
      <c r="B325" s="12" t="s">
        <v>223</v>
      </c>
      <c r="C325" s="13">
        <v>1</v>
      </c>
      <c r="D325" s="14" t="s">
        <v>50</v>
      </c>
      <c r="E325" s="2">
        <f>2744/6</f>
        <v>457.33333333333331</v>
      </c>
      <c r="F325" s="1">
        <f t="shared" si="15"/>
        <v>495.79831932773112</v>
      </c>
      <c r="G325" s="2">
        <v>590</v>
      </c>
      <c r="H325" s="1">
        <f t="shared" si="16"/>
        <v>420.1680672268908</v>
      </c>
      <c r="I325" s="2">
        <v>500</v>
      </c>
      <c r="J325" s="18" t="s">
        <v>30</v>
      </c>
      <c r="K325" s="16">
        <v>44630</v>
      </c>
      <c r="L325" s="18">
        <v>18</v>
      </c>
    </row>
    <row r="326" spans="1:12" x14ac:dyDescent="0.2">
      <c r="A326" s="9">
        <v>7802800533572</v>
      </c>
      <c r="B326" s="12" t="s">
        <v>226</v>
      </c>
      <c r="C326" s="13">
        <v>1</v>
      </c>
      <c r="D326" s="14" t="s">
        <v>50</v>
      </c>
      <c r="E326" s="2">
        <v>1260</v>
      </c>
      <c r="F326" s="1">
        <f t="shared" si="15"/>
        <v>1310.9243697478992</v>
      </c>
      <c r="G326" s="2">
        <v>1560</v>
      </c>
      <c r="H326" s="1">
        <f t="shared" si="16"/>
        <v>1260.5042016806724</v>
      </c>
      <c r="I326" s="2">
        <v>1500</v>
      </c>
      <c r="J326" s="18" t="s">
        <v>30</v>
      </c>
      <c r="K326" s="16">
        <v>45426</v>
      </c>
      <c r="L326" s="18">
        <v>2</v>
      </c>
    </row>
    <row r="327" spans="1:12" x14ac:dyDescent="0.2">
      <c r="A327" s="9">
        <v>7802800534128</v>
      </c>
      <c r="B327" s="12" t="s">
        <v>225</v>
      </c>
      <c r="C327" s="13">
        <v>8</v>
      </c>
      <c r="D327" s="14" t="s">
        <v>50</v>
      </c>
      <c r="E327" s="2">
        <v>1470</v>
      </c>
      <c r="F327" s="1">
        <f t="shared" si="15"/>
        <v>1680.6722689075632</v>
      </c>
      <c r="G327" s="2">
        <v>2000</v>
      </c>
      <c r="H327" s="1">
        <f t="shared" si="16"/>
        <v>1621.8487394957983</v>
      </c>
      <c r="I327" s="2">
        <v>1930</v>
      </c>
      <c r="J327" s="18" t="s">
        <v>30</v>
      </c>
      <c r="K327" s="16">
        <v>44223</v>
      </c>
      <c r="L327" s="18">
        <v>8</v>
      </c>
    </row>
    <row r="328" spans="1:12" x14ac:dyDescent="0.2">
      <c r="A328" s="9">
        <v>7802800000319</v>
      </c>
      <c r="B328" s="12" t="s">
        <v>115</v>
      </c>
      <c r="C328" s="13">
        <v>36</v>
      </c>
      <c r="D328" s="14" t="s">
        <v>50</v>
      </c>
      <c r="E328" s="2">
        <v>917</v>
      </c>
      <c r="F328" s="1">
        <f t="shared" si="15"/>
        <v>924.36974789915973</v>
      </c>
      <c r="G328" s="2">
        <v>1100</v>
      </c>
      <c r="H328" s="1">
        <f t="shared" si="16"/>
        <v>840.3361344537816</v>
      </c>
      <c r="I328" s="2">
        <v>1000</v>
      </c>
      <c r="J328" s="18" t="s">
        <v>30</v>
      </c>
      <c r="K328" s="16">
        <v>45107</v>
      </c>
      <c r="L328" s="18">
        <v>36</v>
      </c>
    </row>
    <row r="329" spans="1:12" x14ac:dyDescent="0.2">
      <c r="A329" s="22">
        <v>7802800533831</v>
      </c>
      <c r="B329" s="12" t="s">
        <v>445</v>
      </c>
      <c r="C329" s="13">
        <v>6</v>
      </c>
      <c r="D329" s="14" t="s">
        <v>50</v>
      </c>
      <c r="E329" s="2">
        <f>3431/6</f>
        <v>571.83333333333337</v>
      </c>
      <c r="F329" s="1">
        <f t="shared" si="15"/>
        <v>495.79831932773112</v>
      </c>
      <c r="G329" s="2">
        <v>590</v>
      </c>
      <c r="H329" s="1">
        <f t="shared" si="16"/>
        <v>420.1680672268908</v>
      </c>
      <c r="I329" s="2">
        <v>500</v>
      </c>
      <c r="J329" s="18" t="s">
        <v>30</v>
      </c>
      <c r="K329" s="16">
        <v>45048</v>
      </c>
      <c r="L329" s="18">
        <v>3</v>
      </c>
    </row>
    <row r="330" spans="1:12" x14ac:dyDescent="0.2">
      <c r="A330" s="22">
        <v>7802800533824</v>
      </c>
      <c r="B330" s="12" t="s">
        <v>444</v>
      </c>
      <c r="C330" s="13">
        <v>6</v>
      </c>
      <c r="D330" s="14" t="s">
        <v>50</v>
      </c>
      <c r="E330" s="2">
        <f>3431/6</f>
        <v>571.83333333333337</v>
      </c>
      <c r="F330" s="1">
        <f t="shared" si="15"/>
        <v>495.79831932773112</v>
      </c>
      <c r="G330" s="2">
        <v>590</v>
      </c>
      <c r="H330" s="1">
        <f t="shared" si="16"/>
        <v>420.1680672268908</v>
      </c>
      <c r="I330" s="2">
        <v>500</v>
      </c>
      <c r="J330" s="18" t="s">
        <v>30</v>
      </c>
      <c r="K330" s="16">
        <v>45048</v>
      </c>
      <c r="L330" s="18">
        <v>35</v>
      </c>
    </row>
    <row r="331" spans="1:12" x14ac:dyDescent="0.2">
      <c r="A331" s="8">
        <v>7804947004212</v>
      </c>
      <c r="B331" s="20" t="s">
        <v>494</v>
      </c>
      <c r="C331" s="13">
        <v>1</v>
      </c>
      <c r="D331" s="14" t="s">
        <v>50</v>
      </c>
      <c r="E331" s="2">
        <v>490</v>
      </c>
      <c r="F331" s="1">
        <f t="shared" si="15"/>
        <v>705.88235294117646</v>
      </c>
      <c r="G331" s="2">
        <v>840</v>
      </c>
      <c r="H331" s="1">
        <f t="shared" si="16"/>
        <v>672.26890756302521</v>
      </c>
      <c r="I331" s="2">
        <v>800</v>
      </c>
      <c r="J331" s="18" t="s">
        <v>39</v>
      </c>
      <c r="K331" s="16">
        <v>45131</v>
      </c>
      <c r="L331" s="18">
        <v>12</v>
      </c>
    </row>
    <row r="332" spans="1:12" x14ac:dyDescent="0.2">
      <c r="A332" s="9">
        <v>7806500960911</v>
      </c>
      <c r="B332" s="20" t="s">
        <v>417</v>
      </c>
      <c r="C332" s="13">
        <v>24</v>
      </c>
      <c r="D332" s="14" t="s">
        <v>50</v>
      </c>
      <c r="E332" s="2">
        <f>11899/24</f>
        <v>495.79166666666669</v>
      </c>
      <c r="F332" s="1">
        <f t="shared" si="15"/>
        <v>714.28571428571433</v>
      </c>
      <c r="G332" s="2">
        <v>850</v>
      </c>
      <c r="H332" s="1">
        <f t="shared" si="16"/>
        <v>689.07563025210084</v>
      </c>
      <c r="I332" s="2">
        <v>820</v>
      </c>
      <c r="J332" s="18" t="s">
        <v>35</v>
      </c>
      <c r="K332" s="16">
        <v>45356</v>
      </c>
      <c r="L332" s="18">
        <v>58</v>
      </c>
    </row>
    <row r="333" spans="1:12" x14ac:dyDescent="0.2">
      <c r="A333" s="9">
        <v>7790250096085</v>
      </c>
      <c r="B333" s="12" t="s">
        <v>158</v>
      </c>
      <c r="C333" s="13">
        <v>24</v>
      </c>
      <c r="D333" s="14" t="s">
        <v>50</v>
      </c>
      <c r="E333" s="2">
        <f>10286/24</f>
        <v>428.58333333333331</v>
      </c>
      <c r="F333" s="1">
        <f t="shared" si="15"/>
        <v>579.83193277310932</v>
      </c>
      <c r="G333" s="2">
        <v>690</v>
      </c>
      <c r="H333" s="1">
        <f t="shared" si="16"/>
        <v>546.21848739495806</v>
      </c>
      <c r="I333" s="2">
        <v>650</v>
      </c>
      <c r="J333" s="18" t="s">
        <v>35</v>
      </c>
      <c r="K333" s="16">
        <v>44832</v>
      </c>
      <c r="L333" s="18">
        <v>707</v>
      </c>
    </row>
    <row r="334" spans="1:12" x14ac:dyDescent="0.2">
      <c r="A334" s="9">
        <v>7790250096061</v>
      </c>
      <c r="B334" s="12" t="s">
        <v>122</v>
      </c>
      <c r="C334" s="13">
        <v>24</v>
      </c>
      <c r="D334" s="14" t="s">
        <v>50</v>
      </c>
      <c r="E334" s="2">
        <f>17950/24</f>
        <v>747.91666666666663</v>
      </c>
      <c r="F334" s="1">
        <f t="shared" si="15"/>
        <v>840.3361344537816</v>
      </c>
      <c r="G334" s="2">
        <v>1000</v>
      </c>
      <c r="H334" s="1">
        <f t="shared" si="16"/>
        <v>798.31932773109247</v>
      </c>
      <c r="I334" s="2">
        <v>950</v>
      </c>
      <c r="J334" s="18" t="s">
        <v>35</v>
      </c>
      <c r="K334" s="16">
        <v>44832</v>
      </c>
      <c r="L334" s="18">
        <v>1277</v>
      </c>
    </row>
    <row r="335" spans="1:12" x14ac:dyDescent="0.2">
      <c r="A335" s="8">
        <v>7802500221663</v>
      </c>
      <c r="B335" s="12" t="s">
        <v>690</v>
      </c>
      <c r="C335" s="13">
        <v>1</v>
      </c>
      <c r="D335" s="14" t="s">
        <v>50</v>
      </c>
      <c r="E335" s="2">
        <v>1168</v>
      </c>
      <c r="F335" s="1">
        <f t="shared" si="15"/>
        <v>1235.2941176470588</v>
      </c>
      <c r="G335" s="2">
        <v>1470</v>
      </c>
      <c r="H335" s="1">
        <f t="shared" si="16"/>
        <v>1201.6806722689075</v>
      </c>
      <c r="I335" s="2">
        <v>1430</v>
      </c>
      <c r="J335" s="18" t="s">
        <v>30</v>
      </c>
      <c r="K335" s="16">
        <v>45485</v>
      </c>
      <c r="L335" s="18">
        <v>42</v>
      </c>
    </row>
    <row r="336" spans="1:12" x14ac:dyDescent="0.2">
      <c r="A336" s="9">
        <v>7702166066021</v>
      </c>
      <c r="B336" s="12" t="s">
        <v>160</v>
      </c>
      <c r="C336" s="13">
        <v>12</v>
      </c>
      <c r="D336" s="14" t="s">
        <v>50</v>
      </c>
      <c r="E336" s="2">
        <f>15936/12</f>
        <v>1328</v>
      </c>
      <c r="F336" s="1">
        <f t="shared" si="15"/>
        <v>1411.7647058823529</v>
      </c>
      <c r="G336" s="2">
        <v>1680</v>
      </c>
      <c r="H336" s="1">
        <f t="shared" si="16"/>
        <v>1344.5378151260504</v>
      </c>
      <c r="I336" s="2">
        <v>1600</v>
      </c>
      <c r="J336" s="18" t="s">
        <v>15</v>
      </c>
      <c r="K336" s="16">
        <v>44841</v>
      </c>
      <c r="L336" s="18">
        <v>3</v>
      </c>
    </row>
    <row r="337" spans="1:12" x14ac:dyDescent="0.2">
      <c r="A337" s="9">
        <v>7702166066038</v>
      </c>
      <c r="B337" s="12" t="s">
        <v>161</v>
      </c>
      <c r="C337" s="13">
        <v>24</v>
      </c>
      <c r="D337" s="14" t="s">
        <v>50</v>
      </c>
      <c r="E337" s="2">
        <f>17064/24</f>
        <v>711</v>
      </c>
      <c r="F337" s="1">
        <f t="shared" si="15"/>
        <v>831.93277310924373</v>
      </c>
      <c r="G337" s="2">
        <v>990</v>
      </c>
      <c r="H337" s="1">
        <f t="shared" si="16"/>
        <v>815.1260504201681</v>
      </c>
      <c r="I337" s="2">
        <v>970</v>
      </c>
      <c r="J337" s="18" t="s">
        <v>15</v>
      </c>
      <c r="K337" s="16">
        <v>44841</v>
      </c>
      <c r="L337" s="18">
        <v>325</v>
      </c>
    </row>
    <row r="338" spans="1:12" x14ac:dyDescent="0.2">
      <c r="A338" s="9">
        <v>7702166066007</v>
      </c>
      <c r="B338" s="12" t="s">
        <v>227</v>
      </c>
      <c r="C338" s="13">
        <v>4</v>
      </c>
      <c r="D338" s="14" t="s">
        <v>50</v>
      </c>
      <c r="E338" s="2">
        <f>12404/4</f>
        <v>3101</v>
      </c>
      <c r="F338" s="1">
        <f t="shared" si="15"/>
        <v>3361.3445378151264</v>
      </c>
      <c r="G338" s="2">
        <v>4000</v>
      </c>
      <c r="H338" s="1">
        <f t="shared" si="16"/>
        <v>3277.3109243697481</v>
      </c>
      <c r="I338" s="2">
        <v>3900</v>
      </c>
      <c r="J338" s="18" t="s">
        <v>15</v>
      </c>
      <c r="K338" s="41">
        <v>44392</v>
      </c>
      <c r="L338" s="18">
        <v>3</v>
      </c>
    </row>
    <row r="339" spans="1:12" x14ac:dyDescent="0.2">
      <c r="A339" s="22">
        <v>7804920002426</v>
      </c>
      <c r="B339" s="12" t="s">
        <v>748</v>
      </c>
      <c r="C339" s="13">
        <v>12</v>
      </c>
      <c r="D339" s="14" t="s">
        <v>50</v>
      </c>
      <c r="E339" s="2">
        <v>600</v>
      </c>
      <c r="F339" s="1">
        <f t="shared" si="15"/>
        <v>1252.1008403361345</v>
      </c>
      <c r="G339" s="2">
        <v>1490</v>
      </c>
      <c r="H339" s="1">
        <f t="shared" si="16"/>
        <v>1159.6638655462186</v>
      </c>
      <c r="I339" s="2">
        <v>1380</v>
      </c>
      <c r="J339" s="18" t="s">
        <v>474</v>
      </c>
      <c r="K339" s="16">
        <v>45399</v>
      </c>
      <c r="L339" s="18">
        <v>50</v>
      </c>
    </row>
    <row r="340" spans="1:12" x14ac:dyDescent="0.2">
      <c r="A340" s="9">
        <v>659525151065</v>
      </c>
      <c r="B340" s="12" t="s">
        <v>460</v>
      </c>
      <c r="C340" s="13">
        <v>12</v>
      </c>
      <c r="D340" s="14" t="s">
        <v>50</v>
      </c>
      <c r="E340" s="2">
        <v>664</v>
      </c>
      <c r="F340" s="1">
        <f t="shared" si="15"/>
        <v>890.75630252100848</v>
      </c>
      <c r="G340" s="2">
        <v>1060</v>
      </c>
      <c r="H340" s="1">
        <f t="shared" si="16"/>
        <v>840.3361344537816</v>
      </c>
      <c r="I340" s="2">
        <v>1000</v>
      </c>
      <c r="J340" s="18" t="s">
        <v>434</v>
      </c>
      <c r="K340" s="16">
        <v>45399</v>
      </c>
      <c r="L340" s="18">
        <v>49</v>
      </c>
    </row>
    <row r="341" spans="1:12" x14ac:dyDescent="0.2">
      <c r="A341" s="8">
        <v>7805040003300</v>
      </c>
      <c r="B341" s="20" t="s">
        <v>117</v>
      </c>
      <c r="C341" s="13">
        <v>18</v>
      </c>
      <c r="D341" s="14" t="s">
        <v>50</v>
      </c>
      <c r="E341" s="2">
        <f>6627/18</f>
        <v>368.16666666666669</v>
      </c>
      <c r="F341" s="1">
        <f t="shared" si="15"/>
        <v>495.79831932773112</v>
      </c>
      <c r="G341" s="2">
        <v>590</v>
      </c>
      <c r="H341" s="1">
        <f t="shared" si="16"/>
        <v>478.99159663865549</v>
      </c>
      <c r="I341" s="2">
        <v>570</v>
      </c>
      <c r="J341" s="18" t="s">
        <v>34</v>
      </c>
      <c r="K341" s="16">
        <v>45328</v>
      </c>
      <c r="L341" s="18">
        <v>77</v>
      </c>
    </row>
    <row r="342" spans="1:12" x14ac:dyDescent="0.2">
      <c r="A342" s="8">
        <v>7805040002136</v>
      </c>
      <c r="B342" s="20" t="s">
        <v>570</v>
      </c>
      <c r="C342" s="13">
        <v>12</v>
      </c>
      <c r="D342" s="14" t="s">
        <v>50</v>
      </c>
      <c r="E342" s="2">
        <v>1001</v>
      </c>
      <c r="F342" s="1">
        <f t="shared" si="15"/>
        <v>1436.9747899159665</v>
      </c>
      <c r="G342" s="2">
        <v>1710</v>
      </c>
      <c r="H342" s="1">
        <f t="shared" si="16"/>
        <v>1378.1512605042017</v>
      </c>
      <c r="I342" s="2">
        <v>1640</v>
      </c>
      <c r="J342" s="18" t="s">
        <v>34</v>
      </c>
      <c r="K342" s="16">
        <v>45328</v>
      </c>
      <c r="L342" s="18">
        <v>30</v>
      </c>
    </row>
    <row r="343" spans="1:12" x14ac:dyDescent="0.2">
      <c r="A343" s="9">
        <v>1526585460300</v>
      </c>
      <c r="B343" s="12" t="s">
        <v>712</v>
      </c>
      <c r="C343" s="13">
        <v>1</v>
      </c>
      <c r="D343" s="14" t="s">
        <v>50</v>
      </c>
      <c r="E343" s="2">
        <v>2261</v>
      </c>
      <c r="F343" s="1">
        <f t="shared" si="15"/>
        <v>3235.294117647059</v>
      </c>
      <c r="G343" s="2">
        <v>3850</v>
      </c>
      <c r="H343" s="1">
        <f t="shared" si="16"/>
        <v>3109.2436974789916</v>
      </c>
      <c r="I343" s="2">
        <v>3700</v>
      </c>
      <c r="J343" s="18" t="s">
        <v>434</v>
      </c>
      <c r="K343" s="16">
        <v>45454</v>
      </c>
      <c r="L343" s="18">
        <v>5</v>
      </c>
    </row>
    <row r="344" spans="1:12" x14ac:dyDescent="0.2">
      <c r="A344" s="8">
        <v>8445290262387</v>
      </c>
      <c r="B344" s="20" t="s">
        <v>455</v>
      </c>
      <c r="C344" s="13">
        <v>6</v>
      </c>
      <c r="D344" s="14" t="s">
        <v>50</v>
      </c>
      <c r="E344" s="2">
        <f>50420/6</f>
        <v>8403.3333333333339</v>
      </c>
      <c r="F344" s="1">
        <f t="shared" si="15"/>
        <v>7563.0252100840344</v>
      </c>
      <c r="G344" s="2">
        <v>9000</v>
      </c>
      <c r="H344" s="1">
        <f t="shared" si="16"/>
        <v>7563.0252100840344</v>
      </c>
      <c r="I344" s="2">
        <v>9000</v>
      </c>
      <c r="J344" s="18" t="s">
        <v>458</v>
      </c>
      <c r="K344" s="37">
        <v>45055</v>
      </c>
      <c r="L344" s="18">
        <v>45</v>
      </c>
    </row>
    <row r="345" spans="1:12" x14ac:dyDescent="0.2">
      <c r="A345" s="8">
        <v>7791290794221</v>
      </c>
      <c r="B345" s="12" t="s">
        <v>646</v>
      </c>
      <c r="C345" s="13">
        <v>12</v>
      </c>
      <c r="D345" s="14" t="s">
        <v>50</v>
      </c>
      <c r="E345" s="2">
        <f>13613/12</f>
        <v>1134.4166666666667</v>
      </c>
      <c r="F345" s="1">
        <f t="shared" si="15"/>
        <v>1630.2521008403362</v>
      </c>
      <c r="G345" s="2">
        <v>1940</v>
      </c>
      <c r="H345" s="1">
        <f t="shared" si="16"/>
        <v>1563.0252100840337</v>
      </c>
      <c r="I345" s="2">
        <v>1860</v>
      </c>
      <c r="J345" s="18" t="s">
        <v>35</v>
      </c>
      <c r="K345" s="16">
        <v>45482</v>
      </c>
      <c r="L345" s="18">
        <v>32</v>
      </c>
    </row>
    <row r="346" spans="1:12" x14ac:dyDescent="0.2">
      <c r="A346" s="8">
        <v>7804609730459</v>
      </c>
      <c r="B346" s="20" t="s">
        <v>716</v>
      </c>
      <c r="C346" s="13">
        <v>8</v>
      </c>
      <c r="D346" s="14" t="s">
        <v>50</v>
      </c>
      <c r="E346" s="2">
        <v>1135</v>
      </c>
      <c r="F346" s="1">
        <f t="shared" si="15"/>
        <v>1563.0252100840337</v>
      </c>
      <c r="G346" s="2">
        <v>1860</v>
      </c>
      <c r="H346" s="1">
        <f t="shared" si="16"/>
        <v>1504.201680672269</v>
      </c>
      <c r="I346" s="2">
        <v>1790</v>
      </c>
      <c r="J346" s="18" t="s">
        <v>89</v>
      </c>
      <c r="K346" s="16">
        <v>45429</v>
      </c>
      <c r="L346" s="18">
        <v>22</v>
      </c>
    </row>
    <row r="347" spans="1:12" x14ac:dyDescent="0.2">
      <c r="A347" s="9">
        <v>7808304316284</v>
      </c>
      <c r="B347" s="12" t="s">
        <v>516</v>
      </c>
      <c r="C347" s="13">
        <v>12</v>
      </c>
      <c r="D347" s="14" t="s">
        <v>50</v>
      </c>
      <c r="E347" s="2">
        <f>1020/1.19</f>
        <v>857.14285714285722</v>
      </c>
      <c r="F347" s="1">
        <f t="shared" si="15"/>
        <v>1235.2941176470588</v>
      </c>
      <c r="G347" s="2">
        <v>1470</v>
      </c>
      <c r="H347" s="1">
        <f t="shared" si="16"/>
        <v>1184.873949579832</v>
      </c>
      <c r="I347" s="2">
        <v>1410</v>
      </c>
      <c r="J347" s="18" t="s">
        <v>547</v>
      </c>
      <c r="K347" s="16">
        <v>45357</v>
      </c>
      <c r="L347" s="18">
        <v>89</v>
      </c>
    </row>
    <row r="348" spans="1:12" x14ac:dyDescent="0.2">
      <c r="A348" s="8">
        <v>7805020000756</v>
      </c>
      <c r="B348" s="20" t="s">
        <v>228</v>
      </c>
      <c r="C348" s="13">
        <v>12</v>
      </c>
      <c r="D348" s="14" t="s">
        <v>50</v>
      </c>
      <c r="E348" s="2">
        <f>5436/12</f>
        <v>453</v>
      </c>
      <c r="F348" s="1">
        <f t="shared" si="15"/>
        <v>831.93277310924373</v>
      </c>
      <c r="G348" s="2">
        <v>990</v>
      </c>
      <c r="H348" s="1">
        <f t="shared" si="16"/>
        <v>756.30252100840335</v>
      </c>
      <c r="I348" s="2">
        <v>900</v>
      </c>
      <c r="J348" s="18" t="s">
        <v>17</v>
      </c>
      <c r="K348" s="16">
        <v>45357</v>
      </c>
      <c r="L348" s="18">
        <v>63</v>
      </c>
    </row>
    <row r="349" spans="1:12" x14ac:dyDescent="0.2">
      <c r="A349" s="22">
        <v>7702166052062</v>
      </c>
      <c r="B349" s="19" t="s">
        <v>234</v>
      </c>
      <c r="C349" s="13">
        <v>12</v>
      </c>
      <c r="D349" s="14" t="s">
        <v>50</v>
      </c>
      <c r="E349" s="2">
        <f>11280/12</f>
        <v>940</v>
      </c>
      <c r="F349" s="1">
        <f t="shared" si="15"/>
        <v>1184.873949579832</v>
      </c>
      <c r="G349" s="2">
        <v>1410</v>
      </c>
      <c r="H349" s="1">
        <f t="shared" si="16"/>
        <v>1142.8571428571429</v>
      </c>
      <c r="I349" s="2">
        <v>1360</v>
      </c>
      <c r="J349" s="18" t="s">
        <v>15</v>
      </c>
      <c r="K349" s="16">
        <v>44763</v>
      </c>
      <c r="L349" s="18">
        <v>181</v>
      </c>
    </row>
    <row r="350" spans="1:12" x14ac:dyDescent="0.2">
      <c r="A350" s="22">
        <v>7702166052055</v>
      </c>
      <c r="B350" s="19" t="s">
        <v>235</v>
      </c>
      <c r="C350" s="13">
        <v>24</v>
      </c>
      <c r="D350" s="14" t="s">
        <v>50</v>
      </c>
      <c r="E350" s="2">
        <f>12408/24</f>
        <v>517</v>
      </c>
      <c r="F350" s="1">
        <f t="shared" si="15"/>
        <v>655.46218487394958</v>
      </c>
      <c r="G350" s="2">
        <v>780</v>
      </c>
      <c r="H350" s="1">
        <f t="shared" si="16"/>
        <v>630.2521008403362</v>
      </c>
      <c r="I350" s="2">
        <v>750</v>
      </c>
      <c r="J350" s="18" t="s">
        <v>15</v>
      </c>
      <c r="K350" s="16">
        <v>44763</v>
      </c>
      <c r="L350" s="18">
        <v>146</v>
      </c>
    </row>
    <row r="351" spans="1:12" x14ac:dyDescent="0.2">
      <c r="A351" s="22">
        <v>7702166052048</v>
      </c>
      <c r="B351" s="19" t="s">
        <v>236</v>
      </c>
      <c r="C351" s="13">
        <v>48</v>
      </c>
      <c r="D351" s="14" t="s">
        <v>50</v>
      </c>
      <c r="E351" s="2">
        <f>10176/48</f>
        <v>212</v>
      </c>
      <c r="F351" s="1">
        <f t="shared" si="15"/>
        <v>277.31092436974791</v>
      </c>
      <c r="G351" s="2">
        <v>330</v>
      </c>
      <c r="H351" s="1">
        <f t="shared" si="16"/>
        <v>252.10084033613447</v>
      </c>
      <c r="I351" s="2">
        <v>300</v>
      </c>
      <c r="J351" s="18" t="s">
        <v>15</v>
      </c>
      <c r="K351" s="16">
        <v>44284</v>
      </c>
      <c r="L351" s="18">
        <v>144</v>
      </c>
    </row>
    <row r="352" spans="1:12" x14ac:dyDescent="0.2">
      <c r="A352" s="8">
        <v>7805020001760</v>
      </c>
      <c r="B352" s="20" t="s">
        <v>233</v>
      </c>
      <c r="C352" s="13">
        <v>12</v>
      </c>
      <c r="D352" s="14" t="s">
        <v>50</v>
      </c>
      <c r="E352" s="2">
        <f>8652/12</f>
        <v>721</v>
      </c>
      <c r="F352" s="1">
        <f t="shared" si="15"/>
        <v>1008.4033613445379</v>
      </c>
      <c r="G352" s="2">
        <v>1200</v>
      </c>
      <c r="H352" s="1">
        <f t="shared" si="16"/>
        <v>924.36974789915973</v>
      </c>
      <c r="I352" s="2">
        <v>1100</v>
      </c>
      <c r="J352" s="18" t="s">
        <v>17</v>
      </c>
      <c r="K352" s="16">
        <v>45455</v>
      </c>
      <c r="L352" s="18">
        <v>48</v>
      </c>
    </row>
    <row r="353" spans="1:12" x14ac:dyDescent="0.2">
      <c r="A353" s="8">
        <v>753153683490</v>
      </c>
      <c r="B353" s="20" t="s">
        <v>230</v>
      </c>
      <c r="C353" s="13">
        <v>1</v>
      </c>
      <c r="D353" s="14" t="s">
        <v>50</v>
      </c>
      <c r="E353" s="2">
        <v>805.5</v>
      </c>
      <c r="F353" s="1">
        <f t="shared" si="15"/>
        <v>1344.5378151260504</v>
      </c>
      <c r="G353" s="2">
        <v>1600</v>
      </c>
      <c r="H353" s="1">
        <f t="shared" si="16"/>
        <v>1302.5210084033613</v>
      </c>
      <c r="I353" s="2">
        <v>1550</v>
      </c>
      <c r="J353" s="18" t="s">
        <v>21</v>
      </c>
      <c r="K353" s="16">
        <v>45455</v>
      </c>
      <c r="L353" s="18">
        <v>30</v>
      </c>
    </row>
    <row r="354" spans="1:12" x14ac:dyDescent="0.2">
      <c r="A354" s="8" t="s">
        <v>74</v>
      </c>
      <c r="B354" s="20" t="s">
        <v>229</v>
      </c>
      <c r="C354" s="13">
        <v>1</v>
      </c>
      <c r="D354" s="14" t="s">
        <v>50</v>
      </c>
      <c r="E354" s="2">
        <v>301</v>
      </c>
      <c r="F354" s="1">
        <f t="shared" si="15"/>
        <v>546.21848739495806</v>
      </c>
      <c r="G354" s="2">
        <v>650</v>
      </c>
      <c r="H354" s="1">
        <f t="shared" si="16"/>
        <v>546.21848739495806</v>
      </c>
      <c r="I354" s="2">
        <v>650</v>
      </c>
      <c r="J354" s="18" t="s">
        <v>21</v>
      </c>
      <c r="K354" s="16">
        <v>45455</v>
      </c>
      <c r="L354" s="18">
        <v>30</v>
      </c>
    </row>
    <row r="355" spans="1:12" x14ac:dyDescent="0.2">
      <c r="A355" s="8">
        <v>753153683506</v>
      </c>
      <c r="B355" s="20" t="s">
        <v>432</v>
      </c>
      <c r="C355" s="13">
        <v>1</v>
      </c>
      <c r="D355" s="14" t="s">
        <v>50</v>
      </c>
      <c r="E355" s="2">
        <v>805.5</v>
      </c>
      <c r="F355" s="1">
        <f t="shared" si="15"/>
        <v>1344.5378151260504</v>
      </c>
      <c r="G355" s="2">
        <v>1600</v>
      </c>
      <c r="H355" s="1">
        <f t="shared" si="16"/>
        <v>1302.5210084033613</v>
      </c>
      <c r="I355" s="2">
        <v>1550</v>
      </c>
      <c r="J355" s="36" t="s">
        <v>21</v>
      </c>
      <c r="K355" s="16">
        <v>45455</v>
      </c>
      <c r="L355" s="18">
        <v>30</v>
      </c>
    </row>
    <row r="356" spans="1:12" x14ac:dyDescent="0.2">
      <c r="A356" s="22">
        <v>7808304316079</v>
      </c>
      <c r="B356" s="12" t="s">
        <v>658</v>
      </c>
      <c r="C356" s="13">
        <v>24</v>
      </c>
      <c r="D356" s="14" t="s">
        <v>50</v>
      </c>
      <c r="E356" s="2">
        <f>824/1.19</f>
        <v>692.43697478991601</v>
      </c>
      <c r="F356" s="1">
        <f t="shared" si="15"/>
        <v>1042.0168067226891</v>
      </c>
      <c r="G356" s="2">
        <v>1240</v>
      </c>
      <c r="H356" s="1">
        <f t="shared" si="16"/>
        <v>1000</v>
      </c>
      <c r="I356" s="2">
        <v>1190</v>
      </c>
      <c r="J356" s="18" t="s">
        <v>547</v>
      </c>
      <c r="K356" s="16">
        <v>45455</v>
      </c>
      <c r="L356" s="18">
        <v>11</v>
      </c>
    </row>
    <row r="357" spans="1:12" x14ac:dyDescent="0.2">
      <c r="A357" s="8">
        <v>7805020002576</v>
      </c>
      <c r="B357" s="20" t="s">
        <v>237</v>
      </c>
      <c r="C357" s="13">
        <v>12</v>
      </c>
      <c r="D357" s="14" t="s">
        <v>50</v>
      </c>
      <c r="E357" s="2">
        <f>14462/12</f>
        <v>1205.1666666666667</v>
      </c>
      <c r="F357" s="1">
        <f t="shared" si="15"/>
        <v>1571.4285714285716</v>
      </c>
      <c r="G357" s="2">
        <v>1870</v>
      </c>
      <c r="H357" s="1">
        <f t="shared" si="16"/>
        <v>1512.6050420168067</v>
      </c>
      <c r="I357" s="2">
        <v>1800</v>
      </c>
      <c r="J357" s="18" t="s">
        <v>17</v>
      </c>
      <c r="K357" s="16">
        <v>44770</v>
      </c>
      <c r="L357" s="18">
        <v>67</v>
      </c>
    </row>
    <row r="358" spans="1:12" x14ac:dyDescent="0.2">
      <c r="A358" s="8">
        <v>7805020010007</v>
      </c>
      <c r="B358" s="20" t="s">
        <v>727</v>
      </c>
      <c r="C358" s="13">
        <v>12</v>
      </c>
      <c r="D358" s="14" t="s">
        <v>50</v>
      </c>
      <c r="E358" s="2">
        <f>14462/12</f>
        <v>1205.1666666666667</v>
      </c>
      <c r="F358" s="1">
        <f t="shared" si="15"/>
        <v>1571.4285714285716</v>
      </c>
      <c r="G358" s="2">
        <v>1870</v>
      </c>
      <c r="H358" s="1">
        <f t="shared" si="16"/>
        <v>1512.6050420168067</v>
      </c>
      <c r="I358" s="2">
        <v>1800</v>
      </c>
      <c r="J358" s="18" t="s">
        <v>17</v>
      </c>
      <c r="K358" s="16">
        <v>45044</v>
      </c>
      <c r="L358" s="18">
        <v>108</v>
      </c>
    </row>
    <row r="359" spans="1:12" x14ac:dyDescent="0.2">
      <c r="A359" s="8">
        <v>7805020001289</v>
      </c>
      <c r="B359" s="20" t="s">
        <v>238</v>
      </c>
      <c r="C359" s="13">
        <v>12</v>
      </c>
      <c r="D359" s="14" t="s">
        <v>50</v>
      </c>
      <c r="E359" s="2">
        <f>14462/12</f>
        <v>1205.1666666666667</v>
      </c>
      <c r="F359" s="1">
        <f t="shared" si="15"/>
        <v>1571.4285714285716</v>
      </c>
      <c r="G359" s="2">
        <v>1870</v>
      </c>
      <c r="H359" s="1">
        <f t="shared" si="16"/>
        <v>1512.6050420168067</v>
      </c>
      <c r="I359" s="2">
        <v>1800</v>
      </c>
      <c r="J359" s="18" t="s">
        <v>17</v>
      </c>
      <c r="K359" s="16">
        <v>45044</v>
      </c>
      <c r="L359" s="18">
        <v>140</v>
      </c>
    </row>
    <row r="360" spans="1:12" x14ac:dyDescent="0.2">
      <c r="A360" s="8">
        <v>7805020001982</v>
      </c>
      <c r="B360" s="20" t="s">
        <v>231</v>
      </c>
      <c r="C360" s="13">
        <v>12</v>
      </c>
      <c r="D360" s="14" t="s">
        <v>50</v>
      </c>
      <c r="E360" s="2">
        <f>23827/12</f>
        <v>1985.5833333333333</v>
      </c>
      <c r="F360" s="1">
        <f t="shared" si="15"/>
        <v>2394.9579831932774</v>
      </c>
      <c r="G360" s="2">
        <v>2850</v>
      </c>
      <c r="H360" s="1">
        <f t="shared" si="16"/>
        <v>2302.5210084033615</v>
      </c>
      <c r="I360" s="2">
        <v>2740</v>
      </c>
      <c r="J360" s="18" t="s">
        <v>17</v>
      </c>
      <c r="K360" s="16">
        <v>45044</v>
      </c>
      <c r="L360" s="18">
        <v>42</v>
      </c>
    </row>
    <row r="361" spans="1:12" x14ac:dyDescent="0.2">
      <c r="A361" s="8">
        <v>7805020001975</v>
      </c>
      <c r="B361" s="20" t="s">
        <v>232</v>
      </c>
      <c r="C361" s="13">
        <v>12</v>
      </c>
      <c r="D361" s="14" t="s">
        <v>50</v>
      </c>
      <c r="E361" s="2">
        <f>18696/12</f>
        <v>1558</v>
      </c>
      <c r="F361" s="1">
        <f t="shared" si="15"/>
        <v>2394.9579831932774</v>
      </c>
      <c r="G361" s="2">
        <v>2850</v>
      </c>
      <c r="H361" s="1">
        <f t="shared" si="16"/>
        <v>2302.5210084033615</v>
      </c>
      <c r="I361" s="2">
        <v>2740</v>
      </c>
      <c r="J361" s="18" t="s">
        <v>17</v>
      </c>
      <c r="K361" s="16">
        <v>44424</v>
      </c>
      <c r="L361" s="18">
        <v>5</v>
      </c>
    </row>
    <row r="362" spans="1:12" x14ac:dyDescent="0.2">
      <c r="A362" s="8">
        <v>7805020001990</v>
      </c>
      <c r="B362" s="12" t="s">
        <v>732</v>
      </c>
      <c r="C362" s="13">
        <v>12</v>
      </c>
      <c r="D362" s="14" t="s">
        <v>50</v>
      </c>
      <c r="E362" s="2">
        <v>1500</v>
      </c>
      <c r="F362" s="1">
        <f t="shared" si="15"/>
        <v>2394.9579831932774</v>
      </c>
      <c r="G362" s="2">
        <v>2850</v>
      </c>
      <c r="H362" s="1">
        <f t="shared" si="16"/>
        <v>2302.5210084033615</v>
      </c>
      <c r="I362" s="2">
        <v>2740</v>
      </c>
      <c r="J362" s="18" t="s">
        <v>17</v>
      </c>
      <c r="K362" s="16">
        <v>45310</v>
      </c>
      <c r="L362" s="17">
        <v>24</v>
      </c>
    </row>
    <row r="363" spans="1:12" x14ac:dyDescent="0.2">
      <c r="A363" s="8">
        <v>3896110015211</v>
      </c>
      <c r="B363" s="20" t="s">
        <v>541</v>
      </c>
      <c r="C363" s="13">
        <v>12</v>
      </c>
      <c r="D363" s="14" t="s">
        <v>50</v>
      </c>
      <c r="E363" s="2">
        <f>926/1.19</f>
        <v>778.15126050420167</v>
      </c>
      <c r="F363" s="1">
        <f t="shared" si="15"/>
        <v>1117.6470588235295</v>
      </c>
      <c r="G363" s="2">
        <v>1330</v>
      </c>
      <c r="H363" s="1">
        <f t="shared" si="16"/>
        <v>1075.6302521008404</v>
      </c>
      <c r="I363" s="2">
        <v>1280</v>
      </c>
      <c r="J363" s="18" t="s">
        <v>89</v>
      </c>
      <c r="K363" s="16">
        <v>45310</v>
      </c>
      <c r="L363" s="18">
        <v>9</v>
      </c>
    </row>
    <row r="364" spans="1:12" x14ac:dyDescent="0.2">
      <c r="A364" s="8">
        <v>7805020000916</v>
      </c>
      <c r="B364" s="20" t="s">
        <v>540</v>
      </c>
      <c r="C364" s="13">
        <v>12</v>
      </c>
      <c r="D364" s="14" t="s">
        <v>50</v>
      </c>
      <c r="E364" s="2">
        <f>13224/12</f>
        <v>1102</v>
      </c>
      <c r="F364" s="1">
        <f t="shared" si="15"/>
        <v>1394.9579831932774</v>
      </c>
      <c r="G364" s="2">
        <v>1660</v>
      </c>
      <c r="H364" s="1">
        <f t="shared" si="16"/>
        <v>1344.5378151260504</v>
      </c>
      <c r="I364" s="2">
        <v>1600</v>
      </c>
      <c r="J364" s="18" t="s">
        <v>17</v>
      </c>
      <c r="K364" s="16">
        <v>45317</v>
      </c>
      <c r="L364" s="18">
        <v>3</v>
      </c>
    </row>
    <row r="365" spans="1:12" x14ac:dyDescent="0.2">
      <c r="A365" s="8">
        <v>7802800577644</v>
      </c>
      <c r="B365" s="12" t="s">
        <v>65</v>
      </c>
      <c r="C365" s="13">
        <v>1</v>
      </c>
      <c r="D365" s="14" t="s">
        <v>50</v>
      </c>
      <c r="E365" s="2">
        <f>1133/10</f>
        <v>113.3</v>
      </c>
      <c r="F365" s="1">
        <f t="shared" si="15"/>
        <v>168.0672268907563</v>
      </c>
      <c r="G365" s="2">
        <v>200</v>
      </c>
      <c r="H365" s="1">
        <f t="shared" si="16"/>
        <v>168.0672268907563</v>
      </c>
      <c r="I365" s="2">
        <v>200</v>
      </c>
      <c r="J365" s="18" t="s">
        <v>30</v>
      </c>
      <c r="K365" s="16">
        <v>45441</v>
      </c>
      <c r="L365" s="18">
        <v>22</v>
      </c>
    </row>
    <row r="366" spans="1:12" x14ac:dyDescent="0.2">
      <c r="A366" s="9">
        <v>7802800586608</v>
      </c>
      <c r="B366" s="12" t="s">
        <v>66</v>
      </c>
      <c r="C366" s="13">
        <v>10</v>
      </c>
      <c r="D366" s="14" t="s">
        <v>50</v>
      </c>
      <c r="E366" s="2">
        <f>1094/10</f>
        <v>109.4</v>
      </c>
      <c r="F366" s="1">
        <f t="shared" si="15"/>
        <v>168.0672268907563</v>
      </c>
      <c r="G366" s="2">
        <v>200</v>
      </c>
      <c r="H366" s="1">
        <f t="shared" si="16"/>
        <v>168.0672268907563</v>
      </c>
      <c r="I366" s="2">
        <v>200</v>
      </c>
      <c r="J366" s="42" t="s">
        <v>30</v>
      </c>
      <c r="K366" s="16">
        <v>45492</v>
      </c>
      <c r="L366" s="18">
        <v>10</v>
      </c>
    </row>
    <row r="367" spans="1:12" x14ac:dyDescent="0.2">
      <c r="A367" s="9">
        <v>7802800586318</v>
      </c>
      <c r="B367" s="12" t="s">
        <v>67</v>
      </c>
      <c r="C367" s="13">
        <v>1</v>
      </c>
      <c r="D367" s="14" t="s">
        <v>50</v>
      </c>
      <c r="E367" s="2">
        <f>1094/10</f>
        <v>109.4</v>
      </c>
      <c r="F367" s="1">
        <f t="shared" si="15"/>
        <v>168.0672268907563</v>
      </c>
      <c r="G367" s="2">
        <v>200</v>
      </c>
      <c r="H367" s="1">
        <f t="shared" si="16"/>
        <v>168.0672268907563</v>
      </c>
      <c r="I367" s="2">
        <v>200</v>
      </c>
      <c r="J367" s="42" t="s">
        <v>30</v>
      </c>
      <c r="K367" s="16">
        <v>45492</v>
      </c>
      <c r="L367" s="18">
        <v>15</v>
      </c>
    </row>
    <row r="368" spans="1:12" x14ac:dyDescent="0.2">
      <c r="A368" s="8">
        <v>7802800576746</v>
      </c>
      <c r="B368" s="12" t="s">
        <v>68</v>
      </c>
      <c r="C368" s="13">
        <v>1</v>
      </c>
      <c r="D368" s="14" t="s">
        <v>50</v>
      </c>
      <c r="E368" s="2">
        <f>1094/10</f>
        <v>109.4</v>
      </c>
      <c r="F368" s="1">
        <f t="shared" si="15"/>
        <v>168.0672268907563</v>
      </c>
      <c r="G368" s="2">
        <v>200</v>
      </c>
      <c r="H368" s="1">
        <f t="shared" si="16"/>
        <v>168.0672268907563</v>
      </c>
      <c r="I368" s="2">
        <v>200</v>
      </c>
      <c r="J368" s="42" t="s">
        <v>30</v>
      </c>
      <c r="K368" s="41">
        <v>45492</v>
      </c>
      <c r="L368" s="18">
        <v>11</v>
      </c>
    </row>
    <row r="369" spans="1:12" x14ac:dyDescent="0.2">
      <c r="A369" s="8">
        <v>7802800544325</v>
      </c>
      <c r="B369" s="20" t="s">
        <v>672</v>
      </c>
      <c r="C369" s="13">
        <v>6</v>
      </c>
      <c r="D369" s="14" t="s">
        <v>50</v>
      </c>
      <c r="E369" s="2">
        <f>1094/6</f>
        <v>182.33333333333334</v>
      </c>
      <c r="F369" s="1">
        <f t="shared" si="15"/>
        <v>210.0840336134454</v>
      </c>
      <c r="G369" s="4">
        <v>250</v>
      </c>
      <c r="H369" s="1">
        <f t="shared" si="16"/>
        <v>210.0840336134454</v>
      </c>
      <c r="I369" s="4">
        <v>250</v>
      </c>
      <c r="J369" s="36" t="s">
        <v>30</v>
      </c>
      <c r="K369" s="37">
        <v>45492</v>
      </c>
      <c r="L369" s="18">
        <v>6</v>
      </c>
    </row>
    <row r="370" spans="1:12" x14ac:dyDescent="0.2">
      <c r="A370" s="8">
        <v>7802800544318</v>
      </c>
      <c r="B370" s="20" t="s">
        <v>670</v>
      </c>
      <c r="C370" s="13">
        <v>6</v>
      </c>
      <c r="D370" s="14" t="s">
        <v>50</v>
      </c>
      <c r="E370" s="2">
        <v>1432</v>
      </c>
      <c r="F370" s="1">
        <f t="shared" si="15"/>
        <v>210.0840336134454</v>
      </c>
      <c r="G370" s="4">
        <v>250</v>
      </c>
      <c r="H370" s="1">
        <f t="shared" si="16"/>
        <v>210.0840336134454</v>
      </c>
      <c r="I370" s="4">
        <v>250</v>
      </c>
      <c r="J370" s="18" t="s">
        <v>30</v>
      </c>
      <c r="K370" s="16">
        <v>45471</v>
      </c>
      <c r="L370" s="18">
        <v>6</v>
      </c>
    </row>
    <row r="371" spans="1:12" x14ac:dyDescent="0.2">
      <c r="A371" s="9">
        <v>7802800576456</v>
      </c>
      <c r="B371" s="12" t="s">
        <v>69</v>
      </c>
      <c r="C371" s="13">
        <v>1</v>
      </c>
      <c r="D371" s="14" t="s">
        <v>50</v>
      </c>
      <c r="E371" s="2">
        <f>1133/10</f>
        <v>113.3</v>
      </c>
      <c r="F371" s="1">
        <f t="shared" si="15"/>
        <v>168.0672268907563</v>
      </c>
      <c r="G371" s="2">
        <v>200</v>
      </c>
      <c r="H371" s="1">
        <f t="shared" si="16"/>
        <v>168.0672268907563</v>
      </c>
      <c r="I371" s="2">
        <v>200</v>
      </c>
      <c r="J371" s="18" t="s">
        <v>30</v>
      </c>
      <c r="K371" s="16">
        <v>45378</v>
      </c>
      <c r="L371" s="18">
        <v>7</v>
      </c>
    </row>
    <row r="372" spans="1:12" x14ac:dyDescent="0.2">
      <c r="A372" s="8">
        <v>7802800709625</v>
      </c>
      <c r="B372" s="20" t="s">
        <v>618</v>
      </c>
      <c r="C372" s="13">
        <v>18</v>
      </c>
      <c r="D372" s="14" t="s">
        <v>50</v>
      </c>
      <c r="E372" s="2">
        <v>355</v>
      </c>
      <c r="F372" s="1">
        <f t="shared" si="15"/>
        <v>378.15126050420167</v>
      </c>
      <c r="G372" s="2">
        <v>450</v>
      </c>
      <c r="H372" s="1">
        <f t="shared" si="16"/>
        <v>361.34453781512605</v>
      </c>
      <c r="I372" s="2">
        <v>430</v>
      </c>
      <c r="J372" s="18" t="s">
        <v>30</v>
      </c>
      <c r="K372" s="16">
        <v>45404</v>
      </c>
      <c r="L372" s="18">
        <v>4</v>
      </c>
    </row>
    <row r="373" spans="1:12" x14ac:dyDescent="0.2">
      <c r="A373" s="8">
        <v>7802800709601</v>
      </c>
      <c r="B373" s="20" t="s">
        <v>616</v>
      </c>
      <c r="C373" s="13">
        <v>18</v>
      </c>
      <c r="D373" s="14" t="s">
        <v>50</v>
      </c>
      <c r="E373" s="2">
        <v>355</v>
      </c>
      <c r="F373" s="1">
        <f t="shared" si="15"/>
        <v>378.15126050420167</v>
      </c>
      <c r="G373" s="2">
        <v>450</v>
      </c>
      <c r="H373" s="1">
        <f t="shared" si="16"/>
        <v>361.34453781512605</v>
      </c>
      <c r="I373" s="2">
        <v>430</v>
      </c>
      <c r="J373" s="18" t="s">
        <v>30</v>
      </c>
      <c r="K373" s="16">
        <v>45404</v>
      </c>
      <c r="L373" s="18">
        <v>4</v>
      </c>
    </row>
    <row r="374" spans="1:12" x14ac:dyDescent="0.2">
      <c r="A374" s="8">
        <v>7802800709649</v>
      </c>
      <c r="B374" s="20" t="s">
        <v>617</v>
      </c>
      <c r="C374" s="13">
        <v>18</v>
      </c>
      <c r="D374" s="14" t="s">
        <v>50</v>
      </c>
      <c r="E374" s="2">
        <v>355</v>
      </c>
      <c r="F374" s="1">
        <f t="shared" si="15"/>
        <v>378.15126050420167</v>
      </c>
      <c r="G374" s="2">
        <v>450</v>
      </c>
      <c r="H374" s="1">
        <f t="shared" si="16"/>
        <v>361.34453781512605</v>
      </c>
      <c r="I374" s="2">
        <v>430</v>
      </c>
      <c r="J374" s="18" t="s">
        <v>30</v>
      </c>
      <c r="K374" s="16">
        <v>45404</v>
      </c>
      <c r="L374" s="18">
        <v>4</v>
      </c>
    </row>
    <row r="375" spans="1:12" x14ac:dyDescent="0.2">
      <c r="A375" s="8">
        <v>7804608223099</v>
      </c>
      <c r="B375" s="12" t="s">
        <v>757</v>
      </c>
      <c r="C375" s="13">
        <v>48</v>
      </c>
      <c r="D375" s="14" t="s">
        <v>50</v>
      </c>
      <c r="E375" s="1">
        <v>500</v>
      </c>
      <c r="F375" s="1">
        <f t="shared" si="15"/>
        <v>966.38655462184875</v>
      </c>
      <c r="G375" s="1">
        <v>1150</v>
      </c>
      <c r="H375" s="1">
        <f t="shared" si="16"/>
        <v>882.35294117647061</v>
      </c>
      <c r="I375" s="1">
        <v>1050</v>
      </c>
      <c r="J375" s="15"/>
      <c r="K375" s="16">
        <v>45404</v>
      </c>
      <c r="L375" s="18">
        <v>48</v>
      </c>
    </row>
    <row r="376" spans="1:12" x14ac:dyDescent="0.2">
      <c r="A376" s="8">
        <v>7804608223082</v>
      </c>
      <c r="B376" s="12" t="s">
        <v>423</v>
      </c>
      <c r="C376" s="13">
        <v>48</v>
      </c>
      <c r="D376" s="14" t="s">
        <v>50</v>
      </c>
      <c r="E376" s="1">
        <v>715</v>
      </c>
      <c r="F376" s="1">
        <f t="shared" si="15"/>
        <v>966.38655462184875</v>
      </c>
      <c r="G376" s="1">
        <v>1150</v>
      </c>
      <c r="H376" s="1">
        <f t="shared" si="16"/>
        <v>882.35294117647061</v>
      </c>
      <c r="I376" s="1">
        <v>1050</v>
      </c>
      <c r="J376" s="15" t="s">
        <v>91</v>
      </c>
      <c r="K376" s="16">
        <v>45012</v>
      </c>
      <c r="L376" s="18">
        <v>48</v>
      </c>
    </row>
    <row r="377" spans="1:12" x14ac:dyDescent="0.2">
      <c r="A377" s="8">
        <v>7802500001029</v>
      </c>
      <c r="B377" s="12" t="s">
        <v>531</v>
      </c>
      <c r="C377" s="13">
        <v>30</v>
      </c>
      <c r="D377" s="14" t="s">
        <v>50</v>
      </c>
      <c r="E377" s="2">
        <v>630</v>
      </c>
      <c r="F377" s="1">
        <f t="shared" si="15"/>
        <v>672.26890756302521</v>
      </c>
      <c r="G377" s="2">
        <v>800</v>
      </c>
      <c r="H377" s="1">
        <f t="shared" si="16"/>
        <v>647.05882352941182</v>
      </c>
      <c r="I377" s="2">
        <v>770</v>
      </c>
      <c r="J377" s="18" t="s">
        <v>30</v>
      </c>
      <c r="K377" s="16">
        <v>45401</v>
      </c>
      <c r="L377" s="18">
        <v>222</v>
      </c>
    </row>
    <row r="378" spans="1:12" x14ac:dyDescent="0.2">
      <c r="A378" s="8">
        <v>7802500001074</v>
      </c>
      <c r="B378" s="12" t="s">
        <v>489</v>
      </c>
      <c r="C378" s="13">
        <v>30</v>
      </c>
      <c r="D378" s="14" t="s">
        <v>50</v>
      </c>
      <c r="E378" s="2">
        <v>523</v>
      </c>
      <c r="F378" s="1">
        <f t="shared" si="15"/>
        <v>596.63865546218494</v>
      </c>
      <c r="G378" s="2">
        <v>710</v>
      </c>
      <c r="H378" s="1">
        <f t="shared" si="16"/>
        <v>579.83193277310932</v>
      </c>
      <c r="I378" s="2">
        <v>690</v>
      </c>
      <c r="J378" s="18" t="s">
        <v>30</v>
      </c>
      <c r="K378" s="16">
        <v>45426</v>
      </c>
      <c r="L378" s="18">
        <v>356</v>
      </c>
    </row>
    <row r="379" spans="1:12" x14ac:dyDescent="0.2">
      <c r="A379" s="8">
        <v>7802500220734</v>
      </c>
      <c r="B379" s="12" t="s">
        <v>669</v>
      </c>
      <c r="C379" s="13">
        <v>12</v>
      </c>
      <c r="D379" s="14" t="s">
        <v>50</v>
      </c>
      <c r="E379" s="2">
        <v>1249</v>
      </c>
      <c r="F379" s="1">
        <f t="shared" si="15"/>
        <v>1319.327731092437</v>
      </c>
      <c r="G379" s="2">
        <v>1570</v>
      </c>
      <c r="H379" s="1">
        <f t="shared" si="16"/>
        <v>1285.7142857142858</v>
      </c>
      <c r="I379" s="2">
        <v>1530</v>
      </c>
      <c r="J379" s="18" t="s">
        <v>30</v>
      </c>
      <c r="K379" s="16">
        <v>45471</v>
      </c>
      <c r="L379" s="18">
        <v>28</v>
      </c>
    </row>
    <row r="380" spans="1:12" x14ac:dyDescent="0.2">
      <c r="A380" s="8">
        <v>7802500184364</v>
      </c>
      <c r="B380" s="12" t="s">
        <v>446</v>
      </c>
      <c r="C380" s="13">
        <v>30</v>
      </c>
      <c r="D380" s="14" t="s">
        <v>50</v>
      </c>
      <c r="E380" s="2">
        <v>678</v>
      </c>
      <c r="F380" s="1">
        <f t="shared" si="15"/>
        <v>596.63865546218494</v>
      </c>
      <c r="G380" s="2">
        <v>710</v>
      </c>
      <c r="H380" s="1">
        <f t="shared" si="16"/>
        <v>579.83193277310932</v>
      </c>
      <c r="I380" s="2">
        <v>690</v>
      </c>
      <c r="J380" s="18" t="s">
        <v>30</v>
      </c>
      <c r="K380" s="16">
        <v>44630</v>
      </c>
      <c r="L380" s="18">
        <v>265</v>
      </c>
    </row>
    <row r="381" spans="1:12" x14ac:dyDescent="0.2">
      <c r="A381" s="22">
        <v>7802500003023</v>
      </c>
      <c r="B381" s="12" t="s">
        <v>450</v>
      </c>
      <c r="C381" s="13">
        <v>30</v>
      </c>
      <c r="D381" s="14" t="s">
        <v>50</v>
      </c>
      <c r="E381" s="2">
        <f>754/1.19</f>
        <v>633.61344537815125</v>
      </c>
      <c r="F381" s="1">
        <f t="shared" si="15"/>
        <v>596.63865546218494</v>
      </c>
      <c r="G381" s="2">
        <v>710</v>
      </c>
      <c r="H381" s="1">
        <f t="shared" si="16"/>
        <v>579.83193277310932</v>
      </c>
      <c r="I381" s="2">
        <v>690</v>
      </c>
      <c r="J381" s="18" t="s">
        <v>30</v>
      </c>
      <c r="K381" s="16">
        <v>45426</v>
      </c>
      <c r="L381" s="18">
        <v>300</v>
      </c>
    </row>
    <row r="382" spans="1:12" x14ac:dyDescent="0.2">
      <c r="A382" s="22">
        <v>7802500221595</v>
      </c>
      <c r="B382" s="12" t="s">
        <v>451</v>
      </c>
      <c r="C382" s="13">
        <v>30</v>
      </c>
      <c r="D382" s="14" t="s">
        <v>50</v>
      </c>
      <c r="E382" s="2">
        <v>700</v>
      </c>
      <c r="F382" s="1">
        <f t="shared" si="15"/>
        <v>747.89915966386559</v>
      </c>
      <c r="G382" s="2">
        <v>890</v>
      </c>
      <c r="H382" s="1">
        <f t="shared" si="16"/>
        <v>722.68907563025209</v>
      </c>
      <c r="I382" s="2">
        <v>860</v>
      </c>
      <c r="J382" s="18" t="s">
        <v>30</v>
      </c>
      <c r="K382" s="16">
        <v>45048</v>
      </c>
      <c r="L382" s="18">
        <v>290</v>
      </c>
    </row>
    <row r="383" spans="1:12" x14ac:dyDescent="0.2">
      <c r="A383" s="22">
        <v>7802500003016</v>
      </c>
      <c r="B383" s="12" t="s">
        <v>615</v>
      </c>
      <c r="C383" s="13">
        <v>12</v>
      </c>
      <c r="D383" s="14" t="s">
        <v>50</v>
      </c>
      <c r="E383" s="2">
        <v>622</v>
      </c>
      <c r="F383" s="1">
        <f t="shared" si="15"/>
        <v>596.63865546218494</v>
      </c>
      <c r="G383" s="2">
        <v>710</v>
      </c>
      <c r="H383" s="1">
        <f t="shared" si="16"/>
        <v>579.83193277310932</v>
      </c>
      <c r="I383" s="2">
        <v>690</v>
      </c>
      <c r="J383" s="18" t="s">
        <v>30</v>
      </c>
      <c r="K383" s="16">
        <v>45401</v>
      </c>
      <c r="L383" s="18">
        <v>12</v>
      </c>
    </row>
    <row r="384" spans="1:12" x14ac:dyDescent="0.2">
      <c r="A384" s="8">
        <v>7802500182315</v>
      </c>
      <c r="B384" s="12" t="s">
        <v>438</v>
      </c>
      <c r="C384" s="13">
        <v>12</v>
      </c>
      <c r="D384" s="14" t="s">
        <v>50</v>
      </c>
      <c r="E384" s="2">
        <f>525/1.19</f>
        <v>441.1764705882353</v>
      </c>
      <c r="F384" s="1">
        <f t="shared" si="15"/>
        <v>470.58823529411768</v>
      </c>
      <c r="G384" s="2">
        <v>560</v>
      </c>
      <c r="H384" s="1">
        <f t="shared" si="16"/>
        <v>462.18487394957987</v>
      </c>
      <c r="I384" s="2">
        <v>550</v>
      </c>
      <c r="J384" s="18" t="s">
        <v>30</v>
      </c>
      <c r="K384" s="16">
        <v>45041</v>
      </c>
      <c r="L384" s="18">
        <v>18</v>
      </c>
    </row>
    <row r="385" spans="1:12" x14ac:dyDescent="0.2">
      <c r="A385" s="8">
        <v>7802500001081</v>
      </c>
      <c r="B385" s="12" t="s">
        <v>436</v>
      </c>
      <c r="C385" s="13">
        <v>30</v>
      </c>
      <c r="D385" s="14" t="s">
        <v>50</v>
      </c>
      <c r="E385" s="2">
        <v>523</v>
      </c>
      <c r="F385" s="1">
        <f t="shared" si="15"/>
        <v>596.63865546218494</v>
      </c>
      <c r="G385" s="2">
        <v>710</v>
      </c>
      <c r="H385" s="1">
        <f t="shared" si="16"/>
        <v>579.83193277310932</v>
      </c>
      <c r="I385" s="2">
        <v>690</v>
      </c>
      <c r="J385" s="18" t="s">
        <v>30</v>
      </c>
      <c r="K385" s="16">
        <v>45426</v>
      </c>
      <c r="L385" s="18">
        <v>320</v>
      </c>
    </row>
    <row r="386" spans="1:12" x14ac:dyDescent="0.2">
      <c r="A386" s="8">
        <v>7802500184579</v>
      </c>
      <c r="B386" s="12" t="s">
        <v>437</v>
      </c>
      <c r="C386" s="13">
        <v>30</v>
      </c>
      <c r="D386" s="14" t="s">
        <v>50</v>
      </c>
      <c r="E386" s="2">
        <v>700</v>
      </c>
      <c r="F386" s="1">
        <f t="shared" si="15"/>
        <v>596.63865546218494</v>
      </c>
      <c r="G386" s="2">
        <v>710</v>
      </c>
      <c r="H386" s="1">
        <f t="shared" si="16"/>
        <v>579.83193277310932</v>
      </c>
      <c r="I386" s="2">
        <v>690</v>
      </c>
      <c r="J386" s="18" t="s">
        <v>30</v>
      </c>
      <c r="K386" s="16">
        <v>45048</v>
      </c>
      <c r="L386" s="18">
        <v>267</v>
      </c>
    </row>
    <row r="387" spans="1:12" x14ac:dyDescent="0.2">
      <c r="A387" s="8">
        <v>7802500001067</v>
      </c>
      <c r="B387" s="12" t="s">
        <v>439</v>
      </c>
      <c r="C387" s="13">
        <v>30</v>
      </c>
      <c r="D387" s="14" t="s">
        <v>50</v>
      </c>
      <c r="E387" s="2">
        <v>523</v>
      </c>
      <c r="F387" s="1">
        <f t="shared" ref="F387:F450" si="17">G387/1.19</f>
        <v>596.63865546218494</v>
      </c>
      <c r="G387" s="2">
        <v>710</v>
      </c>
      <c r="H387" s="1">
        <f t="shared" ref="H387:H450" si="18">I387/1.19</f>
        <v>579.83193277310932</v>
      </c>
      <c r="I387" s="2">
        <v>690</v>
      </c>
      <c r="J387" s="18" t="s">
        <v>30</v>
      </c>
      <c r="K387" s="16">
        <v>45426</v>
      </c>
      <c r="L387" s="18">
        <v>330</v>
      </c>
    </row>
    <row r="388" spans="1:12" x14ac:dyDescent="0.2">
      <c r="A388" s="22">
        <v>7802500001050</v>
      </c>
      <c r="B388" s="12" t="s">
        <v>452</v>
      </c>
      <c r="C388" s="13">
        <v>30</v>
      </c>
      <c r="D388" s="14" t="s">
        <v>50</v>
      </c>
      <c r="E388" s="2">
        <v>642</v>
      </c>
      <c r="F388" s="1">
        <f t="shared" si="17"/>
        <v>596.63865546218494</v>
      </c>
      <c r="G388" s="2">
        <v>710</v>
      </c>
      <c r="H388" s="1">
        <f t="shared" si="18"/>
        <v>579.83193277310932</v>
      </c>
      <c r="I388" s="2">
        <v>690</v>
      </c>
      <c r="J388" s="18" t="s">
        <v>30</v>
      </c>
      <c r="K388" s="16">
        <v>45107</v>
      </c>
      <c r="L388" s="18">
        <v>300</v>
      </c>
    </row>
    <row r="389" spans="1:12" x14ac:dyDescent="0.2">
      <c r="A389" s="22">
        <v>7802500184487</v>
      </c>
      <c r="B389" s="12" t="s">
        <v>453</v>
      </c>
      <c r="C389" s="13">
        <v>30</v>
      </c>
      <c r="D389" s="14" t="s">
        <v>50</v>
      </c>
      <c r="E389" s="2">
        <v>523</v>
      </c>
      <c r="F389" s="1">
        <f t="shared" si="17"/>
        <v>596.63865546218494</v>
      </c>
      <c r="G389" s="2">
        <v>710</v>
      </c>
      <c r="H389" s="1">
        <f t="shared" si="18"/>
        <v>579.83193277310932</v>
      </c>
      <c r="I389" s="2">
        <v>690</v>
      </c>
      <c r="J389" s="18" t="s">
        <v>30</v>
      </c>
      <c r="K389" s="16">
        <v>45426</v>
      </c>
      <c r="L389" s="18">
        <v>378</v>
      </c>
    </row>
    <row r="390" spans="1:12" x14ac:dyDescent="0.2">
      <c r="A390" s="9">
        <v>7802500038025</v>
      </c>
      <c r="B390" s="12" t="s">
        <v>500</v>
      </c>
      <c r="C390" s="13">
        <v>24</v>
      </c>
      <c r="D390" s="14" t="s">
        <v>50</v>
      </c>
      <c r="E390" s="2">
        <v>558</v>
      </c>
      <c r="F390" s="1">
        <f t="shared" si="17"/>
        <v>705.88235294117646</v>
      </c>
      <c r="G390" s="2">
        <v>840</v>
      </c>
      <c r="H390" s="1">
        <f t="shared" si="18"/>
        <v>680.67226890756308</v>
      </c>
      <c r="I390" s="2">
        <v>810</v>
      </c>
      <c r="J390" s="18" t="s">
        <v>30</v>
      </c>
      <c r="K390" s="16">
        <v>45471</v>
      </c>
      <c r="L390" s="18">
        <v>6</v>
      </c>
    </row>
    <row r="391" spans="1:12" x14ac:dyDescent="0.2">
      <c r="A391" s="9">
        <v>7802500037059</v>
      </c>
      <c r="B391" s="12" t="s">
        <v>440</v>
      </c>
      <c r="C391" s="13">
        <v>24</v>
      </c>
      <c r="D391" s="14" t="s">
        <v>50</v>
      </c>
      <c r="E391" s="2">
        <v>386</v>
      </c>
      <c r="F391" s="1">
        <f t="shared" si="17"/>
        <v>403.36134453781517</v>
      </c>
      <c r="G391" s="2">
        <v>480</v>
      </c>
      <c r="H391" s="1">
        <f t="shared" si="18"/>
        <v>394.9579831932773</v>
      </c>
      <c r="I391" s="2">
        <v>470</v>
      </c>
      <c r="J391" s="18" t="s">
        <v>30</v>
      </c>
      <c r="K391" s="16">
        <v>45471</v>
      </c>
      <c r="L391" s="18">
        <v>92</v>
      </c>
    </row>
    <row r="392" spans="1:12" x14ac:dyDescent="0.2">
      <c r="A392" s="8">
        <v>7802500037073</v>
      </c>
      <c r="B392" s="12" t="s">
        <v>441</v>
      </c>
      <c r="C392" s="13">
        <v>24</v>
      </c>
      <c r="D392" s="14" t="s">
        <v>50</v>
      </c>
      <c r="E392" s="2">
        <f>447/1.19</f>
        <v>375.63025210084038</v>
      </c>
      <c r="F392" s="1">
        <f t="shared" si="17"/>
        <v>403.36134453781517</v>
      </c>
      <c r="G392" s="2">
        <v>480</v>
      </c>
      <c r="H392" s="1">
        <f t="shared" si="18"/>
        <v>394.9579831932773</v>
      </c>
      <c r="I392" s="2">
        <v>470</v>
      </c>
      <c r="J392" s="18" t="s">
        <v>30</v>
      </c>
      <c r="K392" s="16">
        <v>45471</v>
      </c>
      <c r="L392" s="18">
        <v>24</v>
      </c>
    </row>
    <row r="393" spans="1:12" x14ac:dyDescent="0.2">
      <c r="A393" s="8">
        <v>7802500000053</v>
      </c>
      <c r="B393" s="12" t="s">
        <v>442</v>
      </c>
      <c r="C393" s="13">
        <v>24</v>
      </c>
      <c r="D393" s="14" t="s">
        <v>50</v>
      </c>
      <c r="E393" s="2">
        <v>523</v>
      </c>
      <c r="F393" s="1">
        <f t="shared" si="17"/>
        <v>596.63865546218494</v>
      </c>
      <c r="G393" s="2">
        <v>710</v>
      </c>
      <c r="H393" s="1">
        <f t="shared" si="18"/>
        <v>579.83193277310932</v>
      </c>
      <c r="I393" s="2">
        <v>690</v>
      </c>
      <c r="J393" s="18" t="s">
        <v>30</v>
      </c>
      <c r="K393" s="16">
        <v>45426</v>
      </c>
      <c r="L393" s="18">
        <v>1</v>
      </c>
    </row>
    <row r="394" spans="1:12" x14ac:dyDescent="0.2">
      <c r="A394" s="8">
        <v>7802500000039</v>
      </c>
      <c r="B394" s="12" t="s">
        <v>488</v>
      </c>
      <c r="C394" s="13">
        <v>24</v>
      </c>
      <c r="D394" s="14" t="s">
        <v>50</v>
      </c>
      <c r="E394" s="2">
        <v>622</v>
      </c>
      <c r="F394" s="1">
        <f t="shared" si="17"/>
        <v>596.63865546218494</v>
      </c>
      <c r="G394" s="2">
        <v>710</v>
      </c>
      <c r="H394" s="1">
        <f t="shared" si="18"/>
        <v>579.83193277310932</v>
      </c>
      <c r="I394" s="2">
        <v>690</v>
      </c>
      <c r="J394" s="18" t="s">
        <v>30</v>
      </c>
      <c r="K394" s="16">
        <v>45401</v>
      </c>
      <c r="L394" s="18">
        <v>275</v>
      </c>
    </row>
    <row r="395" spans="1:12" x14ac:dyDescent="0.2">
      <c r="A395" s="8">
        <v>780250000046</v>
      </c>
      <c r="B395" s="12" t="s">
        <v>487</v>
      </c>
      <c r="C395" s="13">
        <v>24</v>
      </c>
      <c r="D395" s="14" t="s">
        <v>50</v>
      </c>
      <c r="E395" s="2">
        <v>622</v>
      </c>
      <c r="F395" s="1">
        <f t="shared" si="17"/>
        <v>596.63865546218494</v>
      </c>
      <c r="G395" s="2">
        <v>710</v>
      </c>
      <c r="H395" s="1">
        <f t="shared" si="18"/>
        <v>579.83193277310932</v>
      </c>
      <c r="I395" s="2">
        <v>690</v>
      </c>
      <c r="J395" s="18" t="s">
        <v>30</v>
      </c>
      <c r="K395" s="16">
        <v>45401</v>
      </c>
      <c r="L395" s="18">
        <v>1</v>
      </c>
    </row>
    <row r="396" spans="1:12" x14ac:dyDescent="0.2">
      <c r="A396" s="32">
        <v>7802500002354</v>
      </c>
      <c r="B396" s="33" t="s">
        <v>443</v>
      </c>
      <c r="C396" s="34">
        <v>25</v>
      </c>
      <c r="D396" s="35" t="s">
        <v>50</v>
      </c>
      <c r="E396" s="4">
        <v>700</v>
      </c>
      <c r="F396" s="1">
        <f t="shared" si="17"/>
        <v>747.89915966386559</v>
      </c>
      <c r="G396" s="2">
        <v>890</v>
      </c>
      <c r="H396" s="1">
        <f t="shared" si="18"/>
        <v>722.68907563025209</v>
      </c>
      <c r="I396" s="2">
        <v>860</v>
      </c>
      <c r="J396" s="36" t="s">
        <v>30</v>
      </c>
      <c r="K396" s="37">
        <v>44630</v>
      </c>
      <c r="L396" s="18">
        <v>225</v>
      </c>
    </row>
    <row r="397" spans="1:12" x14ac:dyDescent="0.2">
      <c r="A397" s="32">
        <v>7805040313027</v>
      </c>
      <c r="B397" s="43" t="s">
        <v>722</v>
      </c>
      <c r="C397" s="34">
        <v>12</v>
      </c>
      <c r="D397" s="35" t="s">
        <v>50</v>
      </c>
      <c r="E397" s="4">
        <f>9977/12</f>
        <v>831.41666666666663</v>
      </c>
      <c r="F397" s="1">
        <f t="shared" si="17"/>
        <v>1193.2773109243699</v>
      </c>
      <c r="G397" s="4">
        <v>1420</v>
      </c>
      <c r="H397" s="1">
        <f t="shared" si="18"/>
        <v>1151.2605042016808</v>
      </c>
      <c r="I397" s="4">
        <v>1370</v>
      </c>
      <c r="J397" s="36" t="s">
        <v>34</v>
      </c>
      <c r="K397" s="37">
        <v>45328</v>
      </c>
      <c r="L397" s="18">
        <v>20</v>
      </c>
    </row>
    <row r="398" spans="1:12" x14ac:dyDescent="0.2">
      <c r="A398" s="8">
        <v>7805040000651</v>
      </c>
      <c r="B398" s="20" t="s">
        <v>723</v>
      </c>
      <c r="C398" s="13">
        <v>12</v>
      </c>
      <c r="D398" s="14" t="s">
        <v>50</v>
      </c>
      <c r="E398" s="1">
        <f>19527/12</f>
        <v>1627.25</v>
      </c>
      <c r="F398" s="1">
        <f t="shared" si="17"/>
        <v>2336.1344537815125</v>
      </c>
      <c r="G398" s="1">
        <v>2780</v>
      </c>
      <c r="H398" s="1">
        <f t="shared" si="18"/>
        <v>2235.294117647059</v>
      </c>
      <c r="I398" s="1">
        <v>2660</v>
      </c>
      <c r="J398" s="18" t="s">
        <v>34</v>
      </c>
      <c r="K398" s="16">
        <v>45328</v>
      </c>
      <c r="L398" s="18">
        <v>6</v>
      </c>
    </row>
    <row r="399" spans="1:12" x14ac:dyDescent="0.2">
      <c r="A399" s="8">
        <v>7805040313034</v>
      </c>
      <c r="B399" s="20" t="s">
        <v>721</v>
      </c>
      <c r="C399" s="13">
        <v>12</v>
      </c>
      <c r="D399" s="14" t="s">
        <v>50</v>
      </c>
      <c r="E399" s="2">
        <f>9977/12</f>
        <v>831.41666666666663</v>
      </c>
      <c r="F399" s="1">
        <f t="shared" si="17"/>
        <v>1193.2773109243699</v>
      </c>
      <c r="G399" s="2">
        <v>1420</v>
      </c>
      <c r="H399" s="1">
        <f t="shared" si="18"/>
        <v>1151.2605042016808</v>
      </c>
      <c r="I399" s="2">
        <v>1370</v>
      </c>
      <c r="J399" s="18" t="s">
        <v>34</v>
      </c>
      <c r="K399" s="16">
        <v>45328</v>
      </c>
      <c r="L399" s="18">
        <v>29</v>
      </c>
    </row>
    <row r="400" spans="1:12" x14ac:dyDescent="0.2">
      <c r="A400" s="32">
        <v>7805020000237</v>
      </c>
      <c r="B400" s="43" t="s">
        <v>351</v>
      </c>
      <c r="C400" s="34">
        <v>12</v>
      </c>
      <c r="D400" s="35" t="s">
        <v>50</v>
      </c>
      <c r="E400" s="4">
        <f>9993/12</f>
        <v>832.75</v>
      </c>
      <c r="F400" s="1">
        <f t="shared" si="17"/>
        <v>1117.6470588235295</v>
      </c>
      <c r="G400" s="4">
        <v>1330</v>
      </c>
      <c r="H400" s="1">
        <f t="shared" si="18"/>
        <v>1075.6302521008404</v>
      </c>
      <c r="I400" s="4">
        <v>1280</v>
      </c>
      <c r="J400" s="36" t="s">
        <v>17</v>
      </c>
      <c r="K400" s="37">
        <v>45317</v>
      </c>
      <c r="L400" s="18">
        <v>5</v>
      </c>
    </row>
    <row r="401" spans="1:12" x14ac:dyDescent="0.2">
      <c r="A401" s="8">
        <v>7805020002033</v>
      </c>
      <c r="B401" s="20" t="s">
        <v>352</v>
      </c>
      <c r="C401" s="13">
        <v>15</v>
      </c>
      <c r="D401" s="14" t="s">
        <v>50</v>
      </c>
      <c r="E401" s="2">
        <f>16966/15</f>
        <v>1131.0666666666666</v>
      </c>
      <c r="F401" s="1">
        <f t="shared" si="17"/>
        <v>1621.8487394957983</v>
      </c>
      <c r="G401" s="2">
        <v>1930</v>
      </c>
      <c r="H401" s="1">
        <f t="shared" si="18"/>
        <v>155.46218487394958</v>
      </c>
      <c r="I401" s="2">
        <v>185</v>
      </c>
      <c r="J401" s="18" t="s">
        <v>17</v>
      </c>
      <c r="K401" s="16">
        <v>45044</v>
      </c>
      <c r="L401" s="18">
        <v>6</v>
      </c>
    </row>
    <row r="402" spans="1:12" x14ac:dyDescent="0.2">
      <c r="A402" s="22">
        <v>7804612221654</v>
      </c>
      <c r="B402" s="12" t="s">
        <v>593</v>
      </c>
      <c r="C402" s="13">
        <v>1</v>
      </c>
      <c r="D402" s="14" t="s">
        <v>50</v>
      </c>
      <c r="E402" s="2">
        <v>711</v>
      </c>
      <c r="F402" s="1">
        <f t="shared" si="17"/>
        <v>1008.4033613445379</v>
      </c>
      <c r="G402" s="2">
        <v>1200</v>
      </c>
      <c r="H402" s="1">
        <f t="shared" si="18"/>
        <v>1008.4033613445379</v>
      </c>
      <c r="I402" s="2">
        <v>1200</v>
      </c>
      <c r="J402" s="18" t="s">
        <v>592</v>
      </c>
      <c r="K402" s="16">
        <v>45409</v>
      </c>
      <c r="L402" s="18">
        <v>3</v>
      </c>
    </row>
    <row r="403" spans="1:12" x14ac:dyDescent="0.2">
      <c r="A403" s="22">
        <v>7804612221692</v>
      </c>
      <c r="B403" s="12" t="s">
        <v>591</v>
      </c>
      <c r="C403" s="13">
        <v>1</v>
      </c>
      <c r="D403" s="14" t="s">
        <v>50</v>
      </c>
      <c r="E403" s="2">
        <v>640</v>
      </c>
      <c r="F403" s="1">
        <f t="shared" si="17"/>
        <v>924.36974789915973</v>
      </c>
      <c r="G403" s="2">
        <v>1100</v>
      </c>
      <c r="H403" s="1">
        <f t="shared" si="18"/>
        <v>924.36974789915973</v>
      </c>
      <c r="I403" s="2">
        <v>1100</v>
      </c>
      <c r="J403" s="18" t="s">
        <v>592</v>
      </c>
      <c r="K403" s="16">
        <v>45409</v>
      </c>
      <c r="L403" s="18">
        <v>2</v>
      </c>
    </row>
    <row r="404" spans="1:12" x14ac:dyDescent="0.2">
      <c r="A404" s="22">
        <v>7804612221807</v>
      </c>
      <c r="B404" s="12" t="s">
        <v>594</v>
      </c>
      <c r="C404" s="13">
        <v>1</v>
      </c>
      <c r="D404" s="14" t="s">
        <v>50</v>
      </c>
      <c r="E404" s="2">
        <v>640</v>
      </c>
      <c r="F404" s="1">
        <f t="shared" si="17"/>
        <v>924.36974789915973</v>
      </c>
      <c r="G404" s="2">
        <v>1100</v>
      </c>
      <c r="H404" s="1">
        <f t="shared" si="18"/>
        <v>924.36974789915973</v>
      </c>
      <c r="I404" s="2">
        <v>1100</v>
      </c>
      <c r="J404" s="18" t="s">
        <v>592</v>
      </c>
      <c r="K404" s="16">
        <v>45367</v>
      </c>
      <c r="L404" s="18">
        <v>2</v>
      </c>
    </row>
    <row r="405" spans="1:12" x14ac:dyDescent="0.2">
      <c r="A405" s="22">
        <v>7804612221814</v>
      </c>
      <c r="B405" s="12" t="s">
        <v>595</v>
      </c>
      <c r="C405" s="13">
        <v>1</v>
      </c>
      <c r="D405" s="14" t="s">
        <v>50</v>
      </c>
      <c r="E405" s="2">
        <v>640</v>
      </c>
      <c r="F405" s="1">
        <f t="shared" si="17"/>
        <v>924.36974789915973</v>
      </c>
      <c r="G405" s="2">
        <v>1100</v>
      </c>
      <c r="H405" s="1">
        <f t="shared" si="18"/>
        <v>924.36974789915973</v>
      </c>
      <c r="I405" s="2">
        <v>1100</v>
      </c>
      <c r="J405" s="18" t="s">
        <v>592</v>
      </c>
      <c r="K405" s="16">
        <v>45367</v>
      </c>
      <c r="L405" s="18">
        <v>1</v>
      </c>
    </row>
    <row r="406" spans="1:12" x14ac:dyDescent="0.2">
      <c r="A406" s="22">
        <v>7591066721020</v>
      </c>
      <c r="B406" s="12" t="s">
        <v>239</v>
      </c>
      <c r="C406" s="13">
        <v>12</v>
      </c>
      <c r="D406" s="14" t="s">
        <v>50</v>
      </c>
      <c r="E406" s="2">
        <v>335</v>
      </c>
      <c r="F406" s="1">
        <f t="shared" si="17"/>
        <v>512.60504201680669</v>
      </c>
      <c r="G406" s="2">
        <v>610</v>
      </c>
      <c r="H406" s="1">
        <f t="shared" si="18"/>
        <v>495.79831932773112</v>
      </c>
      <c r="I406" s="2">
        <v>590</v>
      </c>
      <c r="J406" s="18" t="s">
        <v>89</v>
      </c>
      <c r="K406" s="16">
        <v>44760</v>
      </c>
      <c r="L406" s="18">
        <v>4</v>
      </c>
    </row>
    <row r="407" spans="1:12" x14ac:dyDescent="0.2">
      <c r="A407" s="22">
        <v>7591066711014</v>
      </c>
      <c r="B407" s="12" t="s">
        <v>241</v>
      </c>
      <c r="C407" s="13">
        <v>12</v>
      </c>
      <c r="D407" s="14" t="s">
        <v>50</v>
      </c>
      <c r="E407" s="2">
        <v>335</v>
      </c>
      <c r="F407" s="1">
        <f t="shared" si="17"/>
        <v>512.60504201680669</v>
      </c>
      <c r="G407" s="2">
        <v>610</v>
      </c>
      <c r="H407" s="1">
        <f t="shared" si="18"/>
        <v>495.79831932773112</v>
      </c>
      <c r="I407" s="2">
        <v>590</v>
      </c>
      <c r="J407" s="18" t="s">
        <v>89</v>
      </c>
      <c r="K407" s="16">
        <v>44736</v>
      </c>
      <c r="L407" s="18">
        <v>60</v>
      </c>
    </row>
    <row r="408" spans="1:12" x14ac:dyDescent="0.2">
      <c r="A408" s="9">
        <v>7502214739620</v>
      </c>
      <c r="B408" s="23" t="s">
        <v>240</v>
      </c>
      <c r="C408" s="13">
        <v>10</v>
      </c>
      <c r="D408" s="14" t="s">
        <v>50</v>
      </c>
      <c r="E408" s="2">
        <f>610/1.19</f>
        <v>512.60504201680669</v>
      </c>
      <c r="F408" s="1">
        <f t="shared" si="17"/>
        <v>823.52941176470597</v>
      </c>
      <c r="G408" s="2">
        <v>980</v>
      </c>
      <c r="H408" s="1">
        <f t="shared" si="18"/>
        <v>789.9159663865546</v>
      </c>
      <c r="I408" s="2">
        <v>940</v>
      </c>
      <c r="J408" s="18" t="s">
        <v>89</v>
      </c>
      <c r="K408" s="16">
        <v>45107</v>
      </c>
      <c r="L408" s="18">
        <v>24</v>
      </c>
    </row>
    <row r="409" spans="1:12" x14ac:dyDescent="0.2">
      <c r="A409" s="22">
        <v>6949888300953</v>
      </c>
      <c r="B409" s="12" t="s">
        <v>86</v>
      </c>
      <c r="C409" s="13">
        <v>1</v>
      </c>
      <c r="D409" s="14" t="s">
        <v>50</v>
      </c>
      <c r="E409" s="2">
        <v>1500</v>
      </c>
      <c r="F409" s="1">
        <f t="shared" si="17"/>
        <v>2100.840336134454</v>
      </c>
      <c r="G409" s="2">
        <v>2500</v>
      </c>
      <c r="H409" s="1">
        <f t="shared" si="18"/>
        <v>1974.7899159663866</v>
      </c>
      <c r="I409" s="2">
        <v>2350</v>
      </c>
      <c r="J409" s="18" t="s">
        <v>19</v>
      </c>
      <c r="K409" s="16">
        <v>44799</v>
      </c>
      <c r="L409" s="18">
        <v>12</v>
      </c>
    </row>
    <row r="410" spans="1:12" x14ac:dyDescent="0.2">
      <c r="A410" s="22" t="s">
        <v>87</v>
      </c>
      <c r="B410" s="12" t="s">
        <v>88</v>
      </c>
      <c r="C410" s="13">
        <v>1</v>
      </c>
      <c r="D410" s="14" t="s">
        <v>50</v>
      </c>
      <c r="E410" s="2">
        <v>350</v>
      </c>
      <c r="F410" s="1">
        <f t="shared" si="17"/>
        <v>420.1680672268908</v>
      </c>
      <c r="G410" s="2">
        <v>500</v>
      </c>
      <c r="H410" s="1">
        <f t="shared" si="18"/>
        <v>420.1680672268908</v>
      </c>
      <c r="I410" s="2">
        <v>500</v>
      </c>
      <c r="J410" s="18" t="s">
        <v>21</v>
      </c>
      <c r="K410" s="37">
        <v>45490</v>
      </c>
      <c r="L410" s="18">
        <v>22</v>
      </c>
    </row>
    <row r="411" spans="1:12" x14ac:dyDescent="0.2">
      <c r="A411" s="22">
        <v>2100002696</v>
      </c>
      <c r="B411" s="12" t="s">
        <v>548</v>
      </c>
      <c r="C411" s="13">
        <v>24</v>
      </c>
      <c r="D411" s="14" t="s">
        <v>50</v>
      </c>
      <c r="E411" s="2">
        <v>2520</v>
      </c>
      <c r="F411" s="1">
        <f t="shared" si="17"/>
        <v>3285.7142857142858</v>
      </c>
      <c r="G411" s="2">
        <v>3910</v>
      </c>
      <c r="H411" s="1">
        <f t="shared" si="18"/>
        <v>3159.6638655462184</v>
      </c>
      <c r="I411" s="2">
        <v>3760</v>
      </c>
      <c r="J411" s="18" t="s">
        <v>353</v>
      </c>
      <c r="K411" s="37">
        <v>45490</v>
      </c>
      <c r="L411" s="18">
        <v>12</v>
      </c>
    </row>
    <row r="412" spans="1:12" x14ac:dyDescent="0.2">
      <c r="A412" s="32">
        <v>21000026968</v>
      </c>
      <c r="B412" s="33" t="s">
        <v>682</v>
      </c>
      <c r="C412" s="34">
        <v>12</v>
      </c>
      <c r="D412" s="35" t="s">
        <v>50</v>
      </c>
      <c r="E412" s="5">
        <f>27217/12</f>
        <v>2268.0833333333335</v>
      </c>
      <c r="F412" s="1">
        <f t="shared" si="17"/>
        <v>2840.3361344537816</v>
      </c>
      <c r="G412" s="5">
        <v>3380</v>
      </c>
      <c r="H412" s="1">
        <f t="shared" si="18"/>
        <v>2739.4957983193281</v>
      </c>
      <c r="I412" s="5">
        <v>3260</v>
      </c>
      <c r="J412" s="44" t="s">
        <v>677</v>
      </c>
      <c r="K412" s="37">
        <v>45490</v>
      </c>
      <c r="L412" s="18">
        <v>84</v>
      </c>
    </row>
    <row r="413" spans="1:12" x14ac:dyDescent="0.2">
      <c r="A413" s="8">
        <v>7878478037830</v>
      </c>
      <c r="B413" s="12" t="s">
        <v>614</v>
      </c>
      <c r="C413" s="13">
        <v>1</v>
      </c>
      <c r="D413" s="14" t="s">
        <v>50</v>
      </c>
      <c r="E413" s="21">
        <v>600</v>
      </c>
      <c r="F413" s="1">
        <f t="shared" si="17"/>
        <v>831.93277310924373</v>
      </c>
      <c r="G413" s="21">
        <v>990</v>
      </c>
      <c r="H413" s="1">
        <f t="shared" si="18"/>
        <v>831.93277310924373</v>
      </c>
      <c r="I413" s="21">
        <v>990</v>
      </c>
      <c r="J413" s="18" t="s">
        <v>547</v>
      </c>
      <c r="K413" s="16">
        <v>45400</v>
      </c>
      <c r="L413" s="18">
        <v>10</v>
      </c>
    </row>
    <row r="414" spans="1:12" x14ac:dyDescent="0.2">
      <c r="A414" s="9">
        <v>7895144605685</v>
      </c>
      <c r="B414" s="12" t="s">
        <v>245</v>
      </c>
      <c r="C414" s="13">
        <v>12</v>
      </c>
      <c r="D414" s="14" t="s">
        <v>50</v>
      </c>
      <c r="E414" s="2">
        <v>1651</v>
      </c>
      <c r="F414" s="1">
        <f t="shared" si="17"/>
        <v>2100.840336134454</v>
      </c>
      <c r="G414" s="2">
        <v>2500</v>
      </c>
      <c r="H414" s="1">
        <f t="shared" si="18"/>
        <v>2100.840336134454</v>
      </c>
      <c r="I414" s="2">
        <v>2500</v>
      </c>
      <c r="J414" s="18" t="s">
        <v>24</v>
      </c>
      <c r="K414" s="16">
        <v>45425</v>
      </c>
      <c r="L414" s="18">
        <v>6</v>
      </c>
    </row>
    <row r="415" spans="1:12" x14ac:dyDescent="0.2">
      <c r="A415" s="8">
        <v>7802410102557</v>
      </c>
      <c r="B415" s="12" t="s">
        <v>359</v>
      </c>
      <c r="C415" s="13">
        <v>50</v>
      </c>
      <c r="D415" s="14" t="s">
        <v>50</v>
      </c>
      <c r="E415" s="1">
        <f>9360/50</f>
        <v>187.2</v>
      </c>
      <c r="F415" s="1">
        <f t="shared" si="17"/>
        <v>260.50420168067228</v>
      </c>
      <c r="G415" s="1">
        <v>310</v>
      </c>
      <c r="H415" s="1">
        <f t="shared" si="18"/>
        <v>252.10084033613447</v>
      </c>
      <c r="I415" s="1">
        <v>300</v>
      </c>
      <c r="J415" s="15" t="s">
        <v>357</v>
      </c>
      <c r="K415" s="16">
        <v>44902</v>
      </c>
      <c r="L415" s="18">
        <v>6</v>
      </c>
    </row>
    <row r="416" spans="1:12" x14ac:dyDescent="0.2">
      <c r="A416" s="8">
        <v>7613030120582</v>
      </c>
      <c r="B416" s="12" t="s">
        <v>684</v>
      </c>
      <c r="C416" s="13">
        <v>15</v>
      </c>
      <c r="D416" s="14" t="s">
        <v>50</v>
      </c>
      <c r="E416" s="1">
        <f>71723/15</f>
        <v>4781.5333333333338</v>
      </c>
      <c r="F416" s="1">
        <f t="shared" si="17"/>
        <v>5983.1932773109247</v>
      </c>
      <c r="G416" s="1">
        <v>7120</v>
      </c>
      <c r="H416" s="1">
        <f t="shared" si="18"/>
        <v>5773.1092436974795</v>
      </c>
      <c r="I416" s="1">
        <v>6870</v>
      </c>
      <c r="J416" s="15" t="s">
        <v>677</v>
      </c>
      <c r="K416" s="16">
        <v>45490</v>
      </c>
      <c r="L416" s="18">
        <v>49</v>
      </c>
    </row>
    <row r="417" spans="1:12" x14ac:dyDescent="0.2">
      <c r="A417" s="8">
        <v>7802800001842</v>
      </c>
      <c r="B417" s="20" t="s">
        <v>647</v>
      </c>
      <c r="C417" s="13">
        <v>10</v>
      </c>
      <c r="D417" s="14" t="s">
        <v>50</v>
      </c>
      <c r="E417" s="2">
        <v>3153</v>
      </c>
      <c r="F417" s="1">
        <f t="shared" si="17"/>
        <v>3512.6050420168067</v>
      </c>
      <c r="G417" s="2">
        <v>4180</v>
      </c>
      <c r="H417" s="1">
        <f t="shared" si="18"/>
        <v>3394.9579831932774</v>
      </c>
      <c r="I417" s="2">
        <v>4040</v>
      </c>
      <c r="J417" s="18" t="s">
        <v>30</v>
      </c>
      <c r="K417" s="16">
        <v>45441</v>
      </c>
      <c r="L417" s="18">
        <v>1</v>
      </c>
    </row>
    <row r="418" spans="1:12" x14ac:dyDescent="0.2">
      <c r="A418" s="22" t="s">
        <v>63</v>
      </c>
      <c r="B418" s="12" t="s">
        <v>133</v>
      </c>
      <c r="C418" s="13">
        <v>1</v>
      </c>
      <c r="D418" s="14" t="s">
        <v>50</v>
      </c>
      <c r="E418" s="2">
        <f>1150/1.19</f>
        <v>966.38655462184875</v>
      </c>
      <c r="F418" s="1">
        <f t="shared" si="17"/>
        <v>1453.7815126050421</v>
      </c>
      <c r="G418" s="2">
        <v>1730</v>
      </c>
      <c r="H418" s="1">
        <f t="shared" si="18"/>
        <v>1386.5546218487395</v>
      </c>
      <c r="I418" s="2">
        <v>1650</v>
      </c>
      <c r="J418" s="18" t="s">
        <v>19</v>
      </c>
      <c r="K418" s="16">
        <v>45320</v>
      </c>
      <c r="L418" s="18">
        <v>2</v>
      </c>
    </row>
    <row r="419" spans="1:12" x14ac:dyDescent="0.2">
      <c r="A419" s="8">
        <v>7802800556427</v>
      </c>
      <c r="B419" s="12" t="s">
        <v>45</v>
      </c>
      <c r="C419" s="13">
        <v>1</v>
      </c>
      <c r="D419" s="14" t="s">
        <v>50</v>
      </c>
      <c r="E419" s="2">
        <v>877</v>
      </c>
      <c r="F419" s="1">
        <f t="shared" si="17"/>
        <v>1042.0168067226891</v>
      </c>
      <c r="G419" s="2">
        <v>1240</v>
      </c>
      <c r="H419" s="1">
        <f t="shared" si="18"/>
        <v>1008.4033613445379</v>
      </c>
      <c r="I419" s="2">
        <v>1200</v>
      </c>
      <c r="J419" s="18" t="s">
        <v>30</v>
      </c>
      <c r="K419" s="16">
        <v>45492</v>
      </c>
      <c r="L419" s="18">
        <v>12</v>
      </c>
    </row>
    <row r="420" spans="1:12" x14ac:dyDescent="0.2">
      <c r="A420" s="8">
        <v>7802800556038</v>
      </c>
      <c r="B420" s="20" t="s">
        <v>105</v>
      </c>
      <c r="C420" s="13">
        <v>12</v>
      </c>
      <c r="D420" s="14" t="s">
        <v>50</v>
      </c>
      <c r="E420" s="2">
        <v>647</v>
      </c>
      <c r="F420" s="1">
        <f t="shared" si="17"/>
        <v>714.28571428571433</v>
      </c>
      <c r="G420" s="2">
        <v>850</v>
      </c>
      <c r="H420" s="1">
        <f t="shared" si="18"/>
        <v>689.07563025210084</v>
      </c>
      <c r="I420" s="2">
        <v>820</v>
      </c>
      <c r="J420" s="18" t="s">
        <v>30</v>
      </c>
      <c r="K420" s="16">
        <v>45378</v>
      </c>
      <c r="L420" s="18">
        <v>12</v>
      </c>
    </row>
    <row r="421" spans="1:12" x14ac:dyDescent="0.2">
      <c r="A421" s="8">
        <v>7802800556106</v>
      </c>
      <c r="B421" s="12" t="s">
        <v>689</v>
      </c>
      <c r="C421" s="13">
        <v>1</v>
      </c>
      <c r="D421" s="14" t="s">
        <v>50</v>
      </c>
      <c r="E421" s="2">
        <v>1221</v>
      </c>
      <c r="F421" s="1">
        <f t="shared" si="17"/>
        <v>1319.327731092437</v>
      </c>
      <c r="G421" s="2">
        <v>1570</v>
      </c>
      <c r="H421" s="1">
        <f t="shared" si="18"/>
        <v>1277.3109243697479</v>
      </c>
      <c r="I421" s="2">
        <v>1520</v>
      </c>
      <c r="J421" s="18" t="s">
        <v>30</v>
      </c>
      <c r="K421" s="16">
        <v>45492</v>
      </c>
      <c r="L421" s="18">
        <v>12</v>
      </c>
    </row>
    <row r="422" spans="1:12" x14ac:dyDescent="0.2">
      <c r="A422" s="8">
        <v>7802800556076</v>
      </c>
      <c r="B422" s="20" t="s">
        <v>151</v>
      </c>
      <c r="C422" s="13">
        <v>12</v>
      </c>
      <c r="D422" s="14" t="s">
        <v>50</v>
      </c>
      <c r="E422" s="2">
        <v>356</v>
      </c>
      <c r="F422" s="1">
        <f t="shared" si="17"/>
        <v>420.1680672268908</v>
      </c>
      <c r="G422" s="2">
        <v>500</v>
      </c>
      <c r="H422" s="1">
        <f t="shared" si="18"/>
        <v>403.36134453781517</v>
      </c>
      <c r="I422" s="2">
        <v>480</v>
      </c>
      <c r="J422" s="18" t="s">
        <v>30</v>
      </c>
      <c r="K422" s="16">
        <v>45492</v>
      </c>
      <c r="L422" s="18">
        <v>12</v>
      </c>
    </row>
    <row r="423" spans="1:12" x14ac:dyDescent="0.2">
      <c r="A423" s="8">
        <v>7802800000388</v>
      </c>
      <c r="B423" s="20" t="s">
        <v>447</v>
      </c>
      <c r="C423" s="13">
        <v>24</v>
      </c>
      <c r="D423" s="14" t="s">
        <v>50</v>
      </c>
      <c r="E423" s="2">
        <v>431</v>
      </c>
      <c r="F423" s="1">
        <f t="shared" si="17"/>
        <v>504.20168067226894</v>
      </c>
      <c r="G423" s="2">
        <v>600</v>
      </c>
      <c r="H423" s="1">
        <f t="shared" si="18"/>
        <v>487.39495798319331</v>
      </c>
      <c r="I423" s="2">
        <v>580</v>
      </c>
      <c r="J423" s="18" t="s">
        <v>30</v>
      </c>
      <c r="K423" s="16">
        <v>45492</v>
      </c>
      <c r="L423" s="18">
        <v>10</v>
      </c>
    </row>
    <row r="424" spans="1:12" x14ac:dyDescent="0.2">
      <c r="A424" s="8">
        <v>7802800000371</v>
      </c>
      <c r="B424" s="20" t="s">
        <v>493</v>
      </c>
      <c r="C424" s="13">
        <v>24</v>
      </c>
      <c r="D424" s="14" t="s">
        <v>50</v>
      </c>
      <c r="E424" s="2">
        <v>403</v>
      </c>
      <c r="F424" s="1">
        <f t="shared" si="17"/>
        <v>453.78151260504205</v>
      </c>
      <c r="G424" s="2">
        <v>540</v>
      </c>
      <c r="H424" s="1">
        <f t="shared" si="18"/>
        <v>445.37815126050424</v>
      </c>
      <c r="I424" s="2">
        <v>530</v>
      </c>
      <c r="J424" s="18" t="s">
        <v>30</v>
      </c>
      <c r="K424" s="16">
        <v>45124</v>
      </c>
      <c r="L424" s="18">
        <v>144</v>
      </c>
    </row>
    <row r="425" spans="1:12" x14ac:dyDescent="0.2">
      <c r="A425" s="8">
        <v>7802800556618</v>
      </c>
      <c r="B425" s="20" t="s">
        <v>448</v>
      </c>
      <c r="C425" s="13">
        <v>20</v>
      </c>
      <c r="D425" s="14" t="s">
        <v>50</v>
      </c>
      <c r="E425" s="2">
        <v>617</v>
      </c>
      <c r="F425" s="1">
        <f t="shared" si="17"/>
        <v>731.09243697478996</v>
      </c>
      <c r="G425" s="2">
        <v>870</v>
      </c>
      <c r="H425" s="1">
        <f t="shared" si="18"/>
        <v>705.88235294117646</v>
      </c>
      <c r="I425" s="2">
        <v>840</v>
      </c>
      <c r="J425" s="18" t="s">
        <v>30</v>
      </c>
      <c r="K425" s="16">
        <v>44838</v>
      </c>
      <c r="L425" s="18">
        <v>20</v>
      </c>
    </row>
    <row r="426" spans="1:12" x14ac:dyDescent="0.2">
      <c r="A426" s="8">
        <v>7802800756605</v>
      </c>
      <c r="B426" s="20" t="s">
        <v>449</v>
      </c>
      <c r="C426" s="13">
        <v>20</v>
      </c>
      <c r="D426" s="14" t="s">
        <v>50</v>
      </c>
      <c r="E426" s="2">
        <v>1120</v>
      </c>
      <c r="F426" s="1">
        <f t="shared" si="17"/>
        <v>1327.7310924369749</v>
      </c>
      <c r="G426" s="2">
        <v>1580</v>
      </c>
      <c r="H426" s="1">
        <f t="shared" si="18"/>
        <v>1277.3109243697479</v>
      </c>
      <c r="I426" s="2">
        <v>1520</v>
      </c>
      <c r="J426" s="18" t="s">
        <v>30</v>
      </c>
      <c r="K426" s="16">
        <v>45016</v>
      </c>
      <c r="L426" s="18">
        <v>20</v>
      </c>
    </row>
    <row r="427" spans="1:12" x14ac:dyDescent="0.2">
      <c r="A427" s="8">
        <v>7802800556137</v>
      </c>
      <c r="B427" s="12" t="s">
        <v>152</v>
      </c>
      <c r="C427" s="13">
        <v>6</v>
      </c>
      <c r="D427" s="14" t="s">
        <v>50</v>
      </c>
      <c r="E427" s="2">
        <v>968</v>
      </c>
      <c r="F427" s="1">
        <f t="shared" si="17"/>
        <v>1084.0336134453783</v>
      </c>
      <c r="G427" s="2">
        <v>1290</v>
      </c>
      <c r="H427" s="1">
        <f t="shared" si="18"/>
        <v>1050.420168067227</v>
      </c>
      <c r="I427" s="2">
        <v>1250</v>
      </c>
      <c r="J427" s="18" t="s">
        <v>30</v>
      </c>
      <c r="K427" s="16">
        <v>45492</v>
      </c>
      <c r="L427" s="18">
        <v>18</v>
      </c>
    </row>
    <row r="428" spans="1:12" x14ac:dyDescent="0.2">
      <c r="A428" s="9">
        <v>7804676650285</v>
      </c>
      <c r="B428" s="19" t="s">
        <v>246</v>
      </c>
      <c r="C428" s="13">
        <v>25</v>
      </c>
      <c r="D428" s="14" t="s">
        <v>50</v>
      </c>
      <c r="E428" s="2">
        <f>24790/50</f>
        <v>495.8</v>
      </c>
      <c r="F428" s="1">
        <f t="shared" si="17"/>
        <v>697.47899159663871</v>
      </c>
      <c r="G428" s="2">
        <v>830</v>
      </c>
      <c r="H428" s="1">
        <f t="shared" si="18"/>
        <v>672.26890756302521</v>
      </c>
      <c r="I428" s="2">
        <v>800</v>
      </c>
      <c r="J428" s="18" t="s">
        <v>29</v>
      </c>
      <c r="K428" s="16">
        <v>44838</v>
      </c>
      <c r="L428" s="18">
        <v>10</v>
      </c>
    </row>
    <row r="429" spans="1:12" x14ac:dyDescent="0.2">
      <c r="A429" s="8">
        <v>7802800575213</v>
      </c>
      <c r="B429" s="20" t="s">
        <v>671</v>
      </c>
      <c r="C429" s="13">
        <v>6</v>
      </c>
      <c r="D429" s="14" t="s">
        <v>50</v>
      </c>
      <c r="E429" s="2">
        <v>1274</v>
      </c>
      <c r="F429" s="1">
        <f t="shared" si="17"/>
        <v>168.0672268907563</v>
      </c>
      <c r="G429" s="2">
        <v>200</v>
      </c>
      <c r="H429" s="1">
        <f t="shared" si="18"/>
        <v>168.0672268907563</v>
      </c>
      <c r="I429" s="2">
        <v>200</v>
      </c>
      <c r="J429" s="18" t="s">
        <v>30</v>
      </c>
      <c r="K429" s="16">
        <v>45471</v>
      </c>
      <c r="L429" s="18">
        <v>6</v>
      </c>
    </row>
    <row r="430" spans="1:12" x14ac:dyDescent="0.2">
      <c r="A430" s="8">
        <v>7802950002126</v>
      </c>
      <c r="B430" s="12" t="s">
        <v>686</v>
      </c>
      <c r="C430" s="13">
        <v>24</v>
      </c>
      <c r="D430" s="14" t="s">
        <v>50</v>
      </c>
      <c r="E430" s="1">
        <f>3990/1.19</f>
        <v>3352.9411764705883</v>
      </c>
      <c r="F430" s="1">
        <f t="shared" si="17"/>
        <v>4361.3445378151264</v>
      </c>
      <c r="G430" s="1">
        <v>5190</v>
      </c>
      <c r="H430" s="1">
        <f t="shared" si="18"/>
        <v>4201.680672268908</v>
      </c>
      <c r="I430" s="1">
        <v>5000</v>
      </c>
      <c r="J430" s="15" t="s">
        <v>677</v>
      </c>
      <c r="K430" s="16">
        <v>45490</v>
      </c>
      <c r="L430" s="18">
        <v>10</v>
      </c>
    </row>
    <row r="431" spans="1:12" x14ac:dyDescent="0.2">
      <c r="A431" s="9">
        <v>7791290791466</v>
      </c>
      <c r="B431" s="19" t="s">
        <v>724</v>
      </c>
      <c r="C431" s="13">
        <v>12</v>
      </c>
      <c r="D431" s="14" t="s">
        <v>50</v>
      </c>
      <c r="E431" s="2">
        <f>2790/1.19</f>
        <v>2344.5378151260506</v>
      </c>
      <c r="F431" s="1">
        <f t="shared" si="17"/>
        <v>2941.1764705882356</v>
      </c>
      <c r="G431" s="2">
        <v>3500</v>
      </c>
      <c r="H431" s="1">
        <f t="shared" si="18"/>
        <v>2831.932773109244</v>
      </c>
      <c r="I431" s="2">
        <v>3370</v>
      </c>
      <c r="J431" s="18" t="s">
        <v>353</v>
      </c>
      <c r="K431" s="16">
        <v>45482</v>
      </c>
      <c r="L431" s="18">
        <v>20</v>
      </c>
    </row>
    <row r="432" spans="1:12" x14ac:dyDescent="0.2">
      <c r="A432" s="9">
        <v>7891150067707</v>
      </c>
      <c r="B432" s="19" t="s">
        <v>725</v>
      </c>
      <c r="C432" s="13">
        <v>12</v>
      </c>
      <c r="D432" s="14" t="s">
        <v>50</v>
      </c>
      <c r="E432" s="2">
        <f>2990/1.19</f>
        <v>2512.6050420168067</v>
      </c>
      <c r="F432" s="1">
        <f t="shared" si="17"/>
        <v>3352.9411764705883</v>
      </c>
      <c r="G432" s="2">
        <v>3990</v>
      </c>
      <c r="H432" s="1">
        <f t="shared" si="18"/>
        <v>3218.4873949579833</v>
      </c>
      <c r="I432" s="2">
        <v>3830</v>
      </c>
      <c r="J432" s="18" t="s">
        <v>353</v>
      </c>
      <c r="K432" s="16">
        <v>45492</v>
      </c>
      <c r="L432" s="18">
        <v>233</v>
      </c>
    </row>
    <row r="433" spans="1:12" x14ac:dyDescent="0.2">
      <c r="A433" s="8">
        <v>7805000313777</v>
      </c>
      <c r="B433" s="19" t="s">
        <v>247</v>
      </c>
      <c r="C433" s="13">
        <v>30</v>
      </c>
      <c r="D433" s="14" t="s">
        <v>50</v>
      </c>
      <c r="E433" s="2">
        <f>22437/30</f>
        <v>747.9</v>
      </c>
      <c r="F433" s="1">
        <f t="shared" si="17"/>
        <v>1159.6638655462186</v>
      </c>
      <c r="G433" s="2">
        <v>1380</v>
      </c>
      <c r="H433" s="1">
        <f t="shared" si="18"/>
        <v>1109.2436974789916</v>
      </c>
      <c r="I433" s="2">
        <v>1320</v>
      </c>
      <c r="J433" s="18" t="s">
        <v>35</v>
      </c>
      <c r="K433" s="16">
        <v>45392</v>
      </c>
      <c r="L433" s="18">
        <v>9</v>
      </c>
    </row>
    <row r="434" spans="1:12" x14ac:dyDescent="0.2">
      <c r="A434" s="9">
        <v>7805000313722</v>
      </c>
      <c r="B434" s="19" t="s">
        <v>7</v>
      </c>
      <c r="C434" s="13">
        <v>30</v>
      </c>
      <c r="D434" s="14" t="s">
        <v>50</v>
      </c>
      <c r="E434" s="2">
        <f>19916/30</f>
        <v>663.86666666666667</v>
      </c>
      <c r="F434" s="1">
        <f t="shared" si="17"/>
        <v>1159.6638655462186</v>
      </c>
      <c r="G434" s="2">
        <v>1380</v>
      </c>
      <c r="H434" s="1">
        <f t="shared" si="18"/>
        <v>1109.2436974789916</v>
      </c>
      <c r="I434" s="2">
        <v>1320</v>
      </c>
      <c r="J434" s="18" t="s">
        <v>35</v>
      </c>
      <c r="K434" s="16">
        <v>45356</v>
      </c>
      <c r="L434" s="18">
        <v>30</v>
      </c>
    </row>
    <row r="435" spans="1:12" x14ac:dyDescent="0.2">
      <c r="A435" s="9">
        <v>7805000313616</v>
      </c>
      <c r="B435" s="19" t="s">
        <v>729</v>
      </c>
      <c r="C435" s="13">
        <v>30</v>
      </c>
      <c r="D435" s="14" t="s">
        <v>50</v>
      </c>
      <c r="E435" s="2">
        <v>860</v>
      </c>
      <c r="F435" s="1">
        <f t="shared" si="17"/>
        <v>1159.6638655462186</v>
      </c>
      <c r="G435" s="2">
        <v>1380</v>
      </c>
      <c r="H435" s="1">
        <f t="shared" si="18"/>
        <v>1109.2436974789916</v>
      </c>
      <c r="I435" s="2">
        <v>1320</v>
      </c>
      <c r="J435" s="18" t="s">
        <v>353</v>
      </c>
      <c r="K435" s="16">
        <v>45448</v>
      </c>
      <c r="L435" s="18">
        <v>122</v>
      </c>
    </row>
    <row r="436" spans="1:12" x14ac:dyDescent="0.2">
      <c r="A436" s="9">
        <v>7791290796027</v>
      </c>
      <c r="B436" s="19" t="s">
        <v>698</v>
      </c>
      <c r="C436" s="13">
        <v>18</v>
      </c>
      <c r="D436" s="14" t="s">
        <v>50</v>
      </c>
      <c r="E436" s="2">
        <v>1300</v>
      </c>
      <c r="F436" s="1">
        <f t="shared" si="17"/>
        <v>1764.7058823529412</v>
      </c>
      <c r="G436" s="2">
        <v>2100</v>
      </c>
      <c r="H436" s="1">
        <f t="shared" si="18"/>
        <v>1697.4789915966387</v>
      </c>
      <c r="I436" s="2">
        <v>2020</v>
      </c>
      <c r="J436" s="18" t="s">
        <v>353</v>
      </c>
      <c r="K436" s="16">
        <v>45492</v>
      </c>
      <c r="L436" s="18">
        <v>101</v>
      </c>
    </row>
    <row r="437" spans="1:12" x14ac:dyDescent="0.2">
      <c r="A437" s="9">
        <v>7794626008016</v>
      </c>
      <c r="B437" s="20" t="s">
        <v>248</v>
      </c>
      <c r="C437" s="13">
        <v>4</v>
      </c>
      <c r="D437" s="14" t="s">
        <v>50</v>
      </c>
      <c r="E437" s="2">
        <f>34252/4</f>
        <v>8563</v>
      </c>
      <c r="F437" s="1">
        <f t="shared" si="17"/>
        <v>10084.033613445379</v>
      </c>
      <c r="G437" s="2">
        <v>12000</v>
      </c>
      <c r="H437" s="1">
        <f t="shared" si="18"/>
        <v>9739.495798319329</v>
      </c>
      <c r="I437" s="2">
        <v>11590</v>
      </c>
      <c r="J437" s="18" t="s">
        <v>35</v>
      </c>
      <c r="K437" s="16">
        <v>44789</v>
      </c>
      <c r="L437" s="18">
        <v>2</v>
      </c>
    </row>
    <row r="438" spans="1:12" x14ac:dyDescent="0.2">
      <c r="A438" s="9">
        <v>7794626006708</v>
      </c>
      <c r="B438" s="20" t="s">
        <v>249</v>
      </c>
      <c r="C438" s="13">
        <v>1</v>
      </c>
      <c r="D438" s="14" t="s">
        <v>50</v>
      </c>
      <c r="E438" s="2">
        <f>25479/8</f>
        <v>3184.875</v>
      </c>
      <c r="F438" s="1">
        <f t="shared" si="17"/>
        <v>3672.2689075630256</v>
      </c>
      <c r="G438" s="2">
        <v>4370</v>
      </c>
      <c r="H438" s="1">
        <f t="shared" si="18"/>
        <v>3546.2184873949582</v>
      </c>
      <c r="I438" s="2">
        <v>4220</v>
      </c>
      <c r="J438" s="18" t="s">
        <v>35</v>
      </c>
      <c r="K438" s="16">
        <v>44789</v>
      </c>
      <c r="L438" s="18">
        <v>3</v>
      </c>
    </row>
    <row r="439" spans="1:12" x14ac:dyDescent="0.2">
      <c r="A439" s="9">
        <v>8690879414774</v>
      </c>
      <c r="B439" s="20" t="s">
        <v>255</v>
      </c>
      <c r="C439" s="13">
        <v>8</v>
      </c>
      <c r="D439" s="14" t="s">
        <v>50</v>
      </c>
      <c r="E439" s="2">
        <v>3008</v>
      </c>
      <c r="F439" s="1">
        <f t="shared" si="17"/>
        <v>3672.2689075630256</v>
      </c>
      <c r="G439" s="2">
        <v>4370</v>
      </c>
      <c r="H439" s="1">
        <f t="shared" si="18"/>
        <v>3546.2184873949582</v>
      </c>
      <c r="I439" s="2">
        <v>4220</v>
      </c>
      <c r="J439" s="18" t="s">
        <v>20</v>
      </c>
      <c r="K439" s="16">
        <v>45317</v>
      </c>
      <c r="L439" s="18">
        <v>25</v>
      </c>
    </row>
    <row r="440" spans="1:12" x14ac:dyDescent="0.2">
      <c r="A440" s="9">
        <v>8690879414880</v>
      </c>
      <c r="B440" s="20" t="s">
        <v>254</v>
      </c>
      <c r="C440" s="13">
        <v>10</v>
      </c>
      <c r="D440" s="14" t="s">
        <v>50</v>
      </c>
      <c r="E440" s="2">
        <v>3760</v>
      </c>
      <c r="F440" s="1">
        <f t="shared" si="17"/>
        <v>3672.2689075630256</v>
      </c>
      <c r="G440" s="2">
        <v>4370</v>
      </c>
      <c r="H440" s="1">
        <f t="shared" si="18"/>
        <v>3546.2184873949582</v>
      </c>
      <c r="I440" s="2">
        <v>4220</v>
      </c>
      <c r="J440" s="18" t="s">
        <v>20</v>
      </c>
      <c r="K440" s="16">
        <v>45317</v>
      </c>
      <c r="L440" s="18">
        <v>12</v>
      </c>
    </row>
    <row r="441" spans="1:12" x14ac:dyDescent="0.2">
      <c r="A441" s="9">
        <v>7806500799504</v>
      </c>
      <c r="B441" s="19" t="s">
        <v>347</v>
      </c>
      <c r="C441" s="13">
        <v>8</v>
      </c>
      <c r="D441" s="14" t="s">
        <v>50</v>
      </c>
      <c r="E441" s="2">
        <f>19429/8</f>
        <v>2428.625</v>
      </c>
      <c r="F441" s="1">
        <f t="shared" si="17"/>
        <v>2773.1092436974791</v>
      </c>
      <c r="G441" s="2">
        <v>3300</v>
      </c>
      <c r="H441" s="1">
        <f t="shared" si="18"/>
        <v>2689.0756302521008</v>
      </c>
      <c r="I441" s="2">
        <v>3200</v>
      </c>
      <c r="J441" s="18" t="s">
        <v>35</v>
      </c>
      <c r="K441" s="16">
        <v>45314</v>
      </c>
      <c r="L441" s="18">
        <v>48</v>
      </c>
    </row>
    <row r="442" spans="1:12" x14ac:dyDescent="0.2">
      <c r="A442" s="9">
        <v>7806500795285</v>
      </c>
      <c r="B442" s="19" t="s">
        <v>256</v>
      </c>
      <c r="C442" s="13">
        <v>8</v>
      </c>
      <c r="D442" s="14" t="s">
        <v>50</v>
      </c>
      <c r="E442" s="2">
        <f>19429/8</f>
        <v>2428.625</v>
      </c>
      <c r="F442" s="1">
        <f t="shared" si="17"/>
        <v>2773.1092436974791</v>
      </c>
      <c r="G442" s="2">
        <v>3300</v>
      </c>
      <c r="H442" s="1">
        <f t="shared" si="18"/>
        <v>2689.0756302521008</v>
      </c>
      <c r="I442" s="2">
        <v>3200</v>
      </c>
      <c r="J442" s="18" t="s">
        <v>35</v>
      </c>
      <c r="K442" s="16">
        <v>45314</v>
      </c>
      <c r="L442" s="18">
        <v>7</v>
      </c>
    </row>
    <row r="443" spans="1:12" x14ac:dyDescent="0.2">
      <c r="A443" s="9">
        <v>7809604030757</v>
      </c>
      <c r="B443" s="19" t="s">
        <v>699</v>
      </c>
      <c r="C443" s="13">
        <v>6</v>
      </c>
      <c r="D443" s="14" t="s">
        <v>50</v>
      </c>
      <c r="E443" s="2">
        <f t="shared" ref="E443:E447" si="19">2090/1.19</f>
        <v>1756.3025210084033</v>
      </c>
      <c r="F443" s="1">
        <f t="shared" si="17"/>
        <v>2352.9411764705883</v>
      </c>
      <c r="G443" s="2">
        <v>2800</v>
      </c>
      <c r="H443" s="1">
        <f t="shared" si="18"/>
        <v>2260.5042016806724</v>
      </c>
      <c r="I443" s="2">
        <v>2690</v>
      </c>
      <c r="J443" s="18" t="s">
        <v>353</v>
      </c>
      <c r="K443" s="16">
        <v>45492</v>
      </c>
      <c r="L443" s="18">
        <v>6</v>
      </c>
    </row>
    <row r="444" spans="1:12" x14ac:dyDescent="0.2">
      <c r="A444" s="9">
        <v>7809604030719</v>
      </c>
      <c r="B444" s="19" t="s">
        <v>706</v>
      </c>
      <c r="C444" s="13">
        <v>8</v>
      </c>
      <c r="D444" s="14" t="s">
        <v>50</v>
      </c>
      <c r="E444" s="2">
        <f t="shared" si="19"/>
        <v>1756.3025210084033</v>
      </c>
      <c r="F444" s="1">
        <f t="shared" si="17"/>
        <v>2352.9411764705883</v>
      </c>
      <c r="G444" s="2">
        <v>2800</v>
      </c>
      <c r="H444" s="1">
        <f t="shared" si="18"/>
        <v>2260.5042016806724</v>
      </c>
      <c r="I444" s="2">
        <v>2690</v>
      </c>
      <c r="J444" s="18" t="s">
        <v>353</v>
      </c>
      <c r="K444" s="16">
        <v>45492</v>
      </c>
      <c r="L444" s="18">
        <v>6</v>
      </c>
    </row>
    <row r="445" spans="1:12" x14ac:dyDescent="0.2">
      <c r="A445" s="9">
        <v>7809604029423</v>
      </c>
      <c r="B445" s="19" t="s">
        <v>257</v>
      </c>
      <c r="C445" s="13">
        <v>6</v>
      </c>
      <c r="D445" s="14" t="s">
        <v>50</v>
      </c>
      <c r="E445" s="2">
        <f t="shared" si="19"/>
        <v>1756.3025210084033</v>
      </c>
      <c r="F445" s="1">
        <f t="shared" si="17"/>
        <v>2352.9411764705883</v>
      </c>
      <c r="G445" s="2">
        <v>2800</v>
      </c>
      <c r="H445" s="1">
        <f t="shared" si="18"/>
        <v>2260.5042016806724</v>
      </c>
      <c r="I445" s="2">
        <v>2690</v>
      </c>
      <c r="J445" s="18" t="s">
        <v>353</v>
      </c>
      <c r="K445" s="16">
        <v>45492</v>
      </c>
      <c r="L445" s="18">
        <v>23</v>
      </c>
    </row>
    <row r="446" spans="1:12" x14ac:dyDescent="0.2">
      <c r="A446" s="9">
        <v>7809604030726</v>
      </c>
      <c r="B446" s="19" t="s">
        <v>696</v>
      </c>
      <c r="C446" s="13">
        <v>6</v>
      </c>
      <c r="D446" s="14" t="s">
        <v>50</v>
      </c>
      <c r="E446" s="2">
        <f t="shared" si="19"/>
        <v>1756.3025210084033</v>
      </c>
      <c r="F446" s="1">
        <f t="shared" si="17"/>
        <v>2352.9411764705883</v>
      </c>
      <c r="G446" s="2">
        <v>2800</v>
      </c>
      <c r="H446" s="1">
        <f t="shared" si="18"/>
        <v>2260.5042016806724</v>
      </c>
      <c r="I446" s="2">
        <v>2690</v>
      </c>
      <c r="J446" s="18" t="s">
        <v>353</v>
      </c>
      <c r="K446" s="16">
        <v>45492</v>
      </c>
      <c r="L446" s="18">
        <v>29</v>
      </c>
    </row>
    <row r="447" spans="1:12" x14ac:dyDescent="0.2">
      <c r="A447" s="8">
        <v>7809604030863</v>
      </c>
      <c r="B447" s="19" t="s">
        <v>692</v>
      </c>
      <c r="C447" s="13">
        <v>8</v>
      </c>
      <c r="D447" s="14" t="s">
        <v>50</v>
      </c>
      <c r="E447" s="2">
        <f t="shared" si="19"/>
        <v>1756.3025210084033</v>
      </c>
      <c r="F447" s="1">
        <f t="shared" si="17"/>
        <v>2352.9411764705883</v>
      </c>
      <c r="G447" s="2">
        <v>2800</v>
      </c>
      <c r="H447" s="1">
        <f t="shared" si="18"/>
        <v>2260.5042016806724</v>
      </c>
      <c r="I447" s="2">
        <v>2690</v>
      </c>
      <c r="J447" s="18" t="s">
        <v>353</v>
      </c>
      <c r="K447" s="16">
        <v>45492</v>
      </c>
      <c r="L447" s="18">
        <v>4</v>
      </c>
    </row>
    <row r="448" spans="1:12" x14ac:dyDescent="0.2">
      <c r="A448" s="9">
        <v>7500435122443</v>
      </c>
      <c r="B448" s="19" t="s">
        <v>258</v>
      </c>
      <c r="C448" s="13">
        <v>8</v>
      </c>
      <c r="D448" s="14" t="s">
        <v>50</v>
      </c>
      <c r="E448" s="2">
        <v>2429</v>
      </c>
      <c r="F448" s="1">
        <f t="shared" si="17"/>
        <v>1680.6722689075632</v>
      </c>
      <c r="G448" s="2">
        <v>2000</v>
      </c>
      <c r="H448" s="1">
        <f t="shared" si="18"/>
        <v>1680.6722689075632</v>
      </c>
      <c r="I448" s="2">
        <v>2000</v>
      </c>
      <c r="J448" s="18" t="s">
        <v>35</v>
      </c>
      <c r="K448" s="16">
        <v>44265</v>
      </c>
      <c r="L448" s="18">
        <v>6</v>
      </c>
    </row>
    <row r="449" spans="1:12" x14ac:dyDescent="0.2">
      <c r="A449" s="9">
        <v>7500435150699</v>
      </c>
      <c r="B449" s="19" t="s">
        <v>645</v>
      </c>
      <c r="C449" s="13">
        <v>8</v>
      </c>
      <c r="D449" s="14" t="s">
        <v>50</v>
      </c>
      <c r="E449" s="2">
        <v>2429</v>
      </c>
      <c r="F449" s="1">
        <f t="shared" si="17"/>
        <v>1680.6722689075632</v>
      </c>
      <c r="G449" s="2">
        <v>2000</v>
      </c>
      <c r="H449" s="1">
        <f t="shared" si="18"/>
        <v>1680.6722689075632</v>
      </c>
      <c r="I449" s="2">
        <v>2000</v>
      </c>
      <c r="J449" s="18" t="s">
        <v>35</v>
      </c>
      <c r="K449" s="16">
        <v>44763</v>
      </c>
      <c r="L449" s="18">
        <v>9</v>
      </c>
    </row>
    <row r="450" spans="1:12" x14ac:dyDescent="0.2">
      <c r="A450" s="9">
        <v>7500435122436</v>
      </c>
      <c r="B450" s="19" t="s">
        <v>707</v>
      </c>
      <c r="C450" s="13">
        <v>8</v>
      </c>
      <c r="D450" s="14" t="s">
        <v>50</v>
      </c>
      <c r="E450" s="2">
        <v>2429</v>
      </c>
      <c r="F450" s="1">
        <f t="shared" si="17"/>
        <v>1680.6722689075632</v>
      </c>
      <c r="G450" s="2">
        <v>2000</v>
      </c>
      <c r="H450" s="1">
        <f t="shared" si="18"/>
        <v>1680.6722689075632</v>
      </c>
      <c r="I450" s="2">
        <v>2000</v>
      </c>
      <c r="J450" s="18" t="s">
        <v>35</v>
      </c>
      <c r="K450" s="16">
        <v>44763</v>
      </c>
      <c r="L450" s="18">
        <v>21</v>
      </c>
    </row>
    <row r="451" spans="1:12" x14ac:dyDescent="0.2">
      <c r="A451" s="9">
        <v>7500435122467</v>
      </c>
      <c r="B451" s="19" t="s">
        <v>259</v>
      </c>
      <c r="C451" s="13">
        <v>8</v>
      </c>
      <c r="D451" s="14" t="s">
        <v>50</v>
      </c>
      <c r="E451" s="2">
        <f>19429/8</f>
        <v>2428.625</v>
      </c>
      <c r="F451" s="1">
        <f t="shared" ref="F451:F514" si="20">G451/1.19</f>
        <v>1680.6722689075632</v>
      </c>
      <c r="G451" s="2">
        <v>2000</v>
      </c>
      <c r="H451" s="1">
        <f t="shared" ref="H451:H514" si="21">I451/1.19</f>
        <v>1680.6722689075632</v>
      </c>
      <c r="I451" s="2">
        <v>2000</v>
      </c>
      <c r="J451" s="18" t="s">
        <v>35</v>
      </c>
      <c r="K451" s="16">
        <v>44763</v>
      </c>
      <c r="L451" s="18">
        <v>17</v>
      </c>
    </row>
    <row r="452" spans="1:12" x14ac:dyDescent="0.2">
      <c r="A452" s="22" t="s">
        <v>78</v>
      </c>
      <c r="B452" s="12" t="s">
        <v>251</v>
      </c>
      <c r="C452" s="13">
        <v>20</v>
      </c>
      <c r="D452" s="14" t="s">
        <v>50</v>
      </c>
      <c r="E452" s="2">
        <f>25460/20</f>
        <v>1273</v>
      </c>
      <c r="F452" s="1">
        <f t="shared" si="20"/>
        <v>1512.6050420168067</v>
      </c>
      <c r="G452" s="2">
        <v>1800</v>
      </c>
      <c r="H452" s="1">
        <f t="shared" si="21"/>
        <v>1470.5882352941178</v>
      </c>
      <c r="I452" s="2">
        <v>1750</v>
      </c>
      <c r="J452" s="18" t="s">
        <v>15</v>
      </c>
      <c r="K452" s="16">
        <v>44763</v>
      </c>
      <c r="L452" s="18">
        <v>34</v>
      </c>
    </row>
    <row r="453" spans="1:12" x14ac:dyDescent="0.2">
      <c r="A453" s="22" t="s">
        <v>119</v>
      </c>
      <c r="B453" s="12" t="s">
        <v>250</v>
      </c>
      <c r="C453" s="13">
        <v>24</v>
      </c>
      <c r="D453" s="14" t="s">
        <v>50</v>
      </c>
      <c r="E453" s="2">
        <f>13704/24</f>
        <v>571</v>
      </c>
      <c r="F453" s="1">
        <f t="shared" si="20"/>
        <v>697.47899159663871</v>
      </c>
      <c r="G453" s="2">
        <v>830</v>
      </c>
      <c r="H453" s="1">
        <f t="shared" si="21"/>
        <v>672.26890756302521</v>
      </c>
      <c r="I453" s="2">
        <v>800</v>
      </c>
      <c r="J453" s="18" t="s">
        <v>15</v>
      </c>
      <c r="K453" s="16">
        <v>44841</v>
      </c>
      <c r="L453" s="18">
        <v>1292</v>
      </c>
    </row>
    <row r="454" spans="1:12" x14ac:dyDescent="0.2">
      <c r="A454" s="22" t="s">
        <v>79</v>
      </c>
      <c r="B454" s="12" t="s">
        <v>252</v>
      </c>
      <c r="C454" s="13">
        <v>20</v>
      </c>
      <c r="D454" s="14" t="s">
        <v>50</v>
      </c>
      <c r="E454" s="2">
        <f>25460/20</f>
        <v>1273</v>
      </c>
      <c r="F454" s="1">
        <f t="shared" si="20"/>
        <v>1512.6050420168067</v>
      </c>
      <c r="G454" s="2">
        <v>1800</v>
      </c>
      <c r="H454" s="1">
        <f t="shared" si="21"/>
        <v>1470.5882352941178</v>
      </c>
      <c r="I454" s="2">
        <v>1750</v>
      </c>
      <c r="J454" s="18" t="s">
        <v>15</v>
      </c>
      <c r="K454" s="16">
        <v>44763</v>
      </c>
      <c r="L454" s="18">
        <v>142</v>
      </c>
    </row>
    <row r="455" spans="1:12" x14ac:dyDescent="0.2">
      <c r="A455" s="22" t="s">
        <v>120</v>
      </c>
      <c r="B455" s="12" t="s">
        <v>253</v>
      </c>
      <c r="C455" s="13">
        <v>24</v>
      </c>
      <c r="D455" s="14" t="s">
        <v>50</v>
      </c>
      <c r="E455" s="2">
        <f>13704/24</f>
        <v>571</v>
      </c>
      <c r="F455" s="1">
        <f t="shared" si="20"/>
        <v>697.47899159663871</v>
      </c>
      <c r="G455" s="2">
        <v>830</v>
      </c>
      <c r="H455" s="1">
        <f t="shared" si="21"/>
        <v>672.26890756302521</v>
      </c>
      <c r="I455" s="2">
        <v>800</v>
      </c>
      <c r="J455" s="18" t="s">
        <v>15</v>
      </c>
      <c r="K455" s="16">
        <v>44841</v>
      </c>
      <c r="L455" s="18">
        <v>759</v>
      </c>
    </row>
    <row r="456" spans="1:12" x14ac:dyDescent="0.2">
      <c r="A456" s="8" t="s">
        <v>58</v>
      </c>
      <c r="B456" s="20" t="s">
        <v>159</v>
      </c>
      <c r="C456" s="13">
        <v>24</v>
      </c>
      <c r="D456" s="14" t="s">
        <v>50</v>
      </c>
      <c r="E456" s="2">
        <v>477</v>
      </c>
      <c r="F456" s="1">
        <f t="shared" si="20"/>
        <v>689.07563025210084</v>
      </c>
      <c r="G456" s="2">
        <v>820</v>
      </c>
      <c r="H456" s="1">
        <f t="shared" si="21"/>
        <v>647.05882352941182</v>
      </c>
      <c r="I456" s="2">
        <v>770</v>
      </c>
      <c r="J456" s="18" t="s">
        <v>85</v>
      </c>
      <c r="K456" s="16">
        <v>45404</v>
      </c>
      <c r="L456" s="18">
        <v>47</v>
      </c>
    </row>
    <row r="457" spans="1:12" x14ac:dyDescent="0.2">
      <c r="A457" s="8" t="s">
        <v>10</v>
      </c>
      <c r="B457" s="20" t="s">
        <v>82</v>
      </c>
      <c r="C457" s="13">
        <v>24</v>
      </c>
      <c r="D457" s="14" t="s">
        <v>50</v>
      </c>
      <c r="E457" s="2">
        <v>347</v>
      </c>
      <c r="F457" s="1">
        <f t="shared" si="20"/>
        <v>571.42857142857144</v>
      </c>
      <c r="G457" s="2">
        <v>680</v>
      </c>
      <c r="H457" s="1">
        <f t="shared" si="21"/>
        <v>529.41176470588243</v>
      </c>
      <c r="I457" s="2">
        <v>630</v>
      </c>
      <c r="J457" s="18" t="s">
        <v>85</v>
      </c>
      <c r="K457" s="16">
        <v>45404</v>
      </c>
      <c r="L457" s="18">
        <v>12</v>
      </c>
    </row>
    <row r="458" spans="1:12" x14ac:dyDescent="0.2">
      <c r="A458" s="8" t="s">
        <v>59</v>
      </c>
      <c r="B458" s="20" t="s">
        <v>138</v>
      </c>
      <c r="C458" s="13">
        <v>1</v>
      </c>
      <c r="D458" s="14" t="s">
        <v>50</v>
      </c>
      <c r="E458" s="2">
        <f>150/1.19</f>
        <v>126.05042016806723</v>
      </c>
      <c r="F458" s="1">
        <f t="shared" si="20"/>
        <v>193.27731092436974</v>
      </c>
      <c r="G458" s="2">
        <v>230</v>
      </c>
      <c r="H458" s="1">
        <f t="shared" si="21"/>
        <v>184.87394957983193</v>
      </c>
      <c r="I458" s="2">
        <v>220</v>
      </c>
      <c r="J458" s="18" t="s">
        <v>19</v>
      </c>
      <c r="K458" s="16">
        <v>45320</v>
      </c>
      <c r="L458" s="18">
        <v>220</v>
      </c>
    </row>
    <row r="459" spans="1:12" x14ac:dyDescent="0.2">
      <c r="A459" s="8" t="s">
        <v>519</v>
      </c>
      <c r="B459" s="12" t="s">
        <v>738</v>
      </c>
      <c r="C459" s="13">
        <v>1</v>
      </c>
      <c r="D459" s="14" t="s">
        <v>50</v>
      </c>
      <c r="E459" s="1">
        <v>340</v>
      </c>
      <c r="F459" s="1">
        <f t="shared" si="20"/>
        <v>546.21848739495806</v>
      </c>
      <c r="G459" s="1">
        <v>650</v>
      </c>
      <c r="H459" s="1">
        <f t="shared" si="21"/>
        <v>504.20168067226894</v>
      </c>
      <c r="I459" s="1">
        <v>600</v>
      </c>
      <c r="J459" s="18" t="s">
        <v>547</v>
      </c>
      <c r="K459" s="16">
        <v>45243</v>
      </c>
      <c r="L459" s="18">
        <v>76</v>
      </c>
    </row>
    <row r="460" spans="1:12" x14ac:dyDescent="0.2">
      <c r="A460" s="9">
        <v>781159304644</v>
      </c>
      <c r="B460" s="12" t="s">
        <v>585</v>
      </c>
      <c r="C460" s="13">
        <v>20</v>
      </c>
      <c r="D460" s="14" t="s">
        <v>50</v>
      </c>
      <c r="E460" s="2">
        <f>656/1.19</f>
        <v>551.26050420168065</v>
      </c>
      <c r="F460" s="1">
        <f t="shared" si="20"/>
        <v>831.93277310924373</v>
      </c>
      <c r="G460" s="2">
        <v>990</v>
      </c>
      <c r="H460" s="1">
        <f t="shared" si="21"/>
        <v>798.31932773109247</v>
      </c>
      <c r="I460" s="2">
        <v>950</v>
      </c>
      <c r="J460" s="18" t="s">
        <v>547</v>
      </c>
      <c r="K460" s="16">
        <v>45455</v>
      </c>
      <c r="L460" s="18">
        <v>84</v>
      </c>
    </row>
    <row r="461" spans="1:12" x14ac:dyDescent="0.2">
      <c r="A461" s="9" t="s">
        <v>51</v>
      </c>
      <c r="B461" s="20" t="s">
        <v>537</v>
      </c>
      <c r="C461" s="13">
        <v>1</v>
      </c>
      <c r="D461" s="14" t="s">
        <v>50</v>
      </c>
      <c r="E461" s="2">
        <f>290/1.19</f>
        <v>243.69747899159665</v>
      </c>
      <c r="F461" s="1">
        <f t="shared" si="20"/>
        <v>436.97478991596643</v>
      </c>
      <c r="G461" s="2">
        <v>520</v>
      </c>
      <c r="H461" s="1">
        <f t="shared" si="21"/>
        <v>420.1680672268908</v>
      </c>
      <c r="I461" s="2">
        <v>500</v>
      </c>
      <c r="J461" s="18" t="s">
        <v>19</v>
      </c>
      <c r="K461" s="16">
        <v>45434</v>
      </c>
      <c r="L461" s="18">
        <v>10</v>
      </c>
    </row>
    <row r="462" spans="1:12" x14ac:dyDescent="0.2">
      <c r="A462" s="22">
        <v>3894143695165</v>
      </c>
      <c r="B462" s="12" t="s">
        <v>260</v>
      </c>
      <c r="C462" s="13">
        <v>48</v>
      </c>
      <c r="D462" s="14" t="s">
        <v>50</v>
      </c>
      <c r="E462" s="2">
        <f>1067/1.19</f>
        <v>896.63865546218494</v>
      </c>
      <c r="F462" s="1">
        <f t="shared" si="20"/>
        <v>1176.4705882352941</v>
      </c>
      <c r="G462" s="2">
        <v>1400</v>
      </c>
      <c r="H462" s="1">
        <f t="shared" si="21"/>
        <v>1134.453781512605</v>
      </c>
      <c r="I462" s="2">
        <v>1350</v>
      </c>
      <c r="J462" s="18" t="s">
        <v>89</v>
      </c>
      <c r="K462" s="16">
        <v>45044</v>
      </c>
      <c r="L462" s="18">
        <v>10</v>
      </c>
    </row>
    <row r="463" spans="1:12" x14ac:dyDescent="0.2">
      <c r="A463" s="9">
        <v>7808304315959</v>
      </c>
      <c r="B463" s="12" t="s">
        <v>518</v>
      </c>
      <c r="C463" s="13">
        <v>50</v>
      </c>
      <c r="D463" s="14" t="s">
        <v>50</v>
      </c>
      <c r="E463" s="2">
        <v>794</v>
      </c>
      <c r="F463" s="1">
        <f t="shared" si="20"/>
        <v>1193.2773109243699</v>
      </c>
      <c r="G463" s="2">
        <v>1420</v>
      </c>
      <c r="H463" s="1">
        <f t="shared" si="21"/>
        <v>1168.0672268907563</v>
      </c>
      <c r="I463" s="2">
        <v>1390</v>
      </c>
      <c r="J463" s="18" t="s">
        <v>547</v>
      </c>
      <c r="K463" s="16">
        <v>45243</v>
      </c>
      <c r="L463" s="18">
        <v>5</v>
      </c>
    </row>
    <row r="464" spans="1:12" x14ac:dyDescent="0.2">
      <c r="A464" s="8">
        <v>7805000311353</v>
      </c>
      <c r="B464" s="12" t="s">
        <v>262</v>
      </c>
      <c r="C464" s="13">
        <v>18</v>
      </c>
      <c r="D464" s="14" t="s">
        <v>50</v>
      </c>
      <c r="E464" s="2">
        <f>39176/(18*3)</f>
        <v>725.48148148148152</v>
      </c>
      <c r="F464" s="1">
        <f t="shared" si="20"/>
        <v>1008.4033613445379</v>
      </c>
      <c r="G464" s="2">
        <v>1200</v>
      </c>
      <c r="H464" s="1">
        <f t="shared" si="21"/>
        <v>924.36974789915973</v>
      </c>
      <c r="I464" s="2">
        <v>1100</v>
      </c>
      <c r="J464" s="18" t="s">
        <v>35</v>
      </c>
      <c r="K464" s="37">
        <v>45482</v>
      </c>
      <c r="L464" s="18">
        <v>19</v>
      </c>
    </row>
    <row r="465" spans="1:12" x14ac:dyDescent="0.2">
      <c r="A465" s="22">
        <v>6922961998827</v>
      </c>
      <c r="B465" s="12" t="s">
        <v>261</v>
      </c>
      <c r="C465" s="13">
        <v>144</v>
      </c>
      <c r="D465" s="14" t="s">
        <v>50</v>
      </c>
      <c r="E465" s="2">
        <f>(35007/12)/12</f>
        <v>243.10416666666666</v>
      </c>
      <c r="F465" s="1">
        <f t="shared" si="20"/>
        <v>327.73109243697479</v>
      </c>
      <c r="G465" s="2">
        <v>390</v>
      </c>
      <c r="H465" s="1">
        <f t="shared" si="21"/>
        <v>310.92436974789916</v>
      </c>
      <c r="I465" s="2">
        <v>370</v>
      </c>
      <c r="J465" s="18" t="s">
        <v>36</v>
      </c>
      <c r="K465" s="16">
        <v>44410</v>
      </c>
      <c r="L465" s="18">
        <v>144</v>
      </c>
    </row>
    <row r="466" spans="1:12" x14ac:dyDescent="0.2">
      <c r="A466" s="8">
        <v>6902088603828</v>
      </c>
      <c r="B466" s="12" t="s">
        <v>263</v>
      </c>
      <c r="C466" s="13">
        <v>18</v>
      </c>
      <c r="D466" s="14" t="s">
        <v>50</v>
      </c>
      <c r="E466" s="2">
        <f>38118/72</f>
        <v>529.41666666666663</v>
      </c>
      <c r="F466" s="1">
        <f t="shared" si="20"/>
        <v>798.31932773109247</v>
      </c>
      <c r="G466" s="2">
        <v>950</v>
      </c>
      <c r="H466" s="1">
        <f t="shared" si="21"/>
        <v>764.70588235294122</v>
      </c>
      <c r="I466" s="2">
        <v>910</v>
      </c>
      <c r="J466" s="18" t="s">
        <v>35</v>
      </c>
      <c r="K466" s="16">
        <v>45482</v>
      </c>
      <c r="L466" s="18">
        <v>18</v>
      </c>
    </row>
    <row r="467" spans="1:12" x14ac:dyDescent="0.2">
      <c r="A467" s="22">
        <v>7891150090231</v>
      </c>
      <c r="B467" s="12" t="s">
        <v>638</v>
      </c>
      <c r="C467" s="13">
        <v>72</v>
      </c>
      <c r="D467" s="14" t="s">
        <v>50</v>
      </c>
      <c r="E467" s="2">
        <f>38118/72</f>
        <v>529.41666666666663</v>
      </c>
      <c r="F467" s="1">
        <f t="shared" si="20"/>
        <v>798.31932773109247</v>
      </c>
      <c r="G467" s="2">
        <v>950</v>
      </c>
      <c r="H467" s="1">
        <f t="shared" si="21"/>
        <v>764.70588235294122</v>
      </c>
      <c r="I467" s="2">
        <v>910</v>
      </c>
      <c r="J467" s="18" t="s">
        <v>35</v>
      </c>
      <c r="K467" s="16">
        <v>45427</v>
      </c>
      <c r="L467" s="18">
        <v>9</v>
      </c>
    </row>
    <row r="468" spans="1:12" x14ac:dyDescent="0.2">
      <c r="A468" s="22">
        <v>8720181040689</v>
      </c>
      <c r="B468" s="12" t="s">
        <v>514</v>
      </c>
      <c r="C468" s="13">
        <v>24</v>
      </c>
      <c r="D468" s="14" t="s">
        <v>50</v>
      </c>
      <c r="E468" s="2">
        <f>830.5/1.19</f>
        <v>697.89915966386559</v>
      </c>
      <c r="F468" s="1">
        <f t="shared" si="20"/>
        <v>941.17647058823536</v>
      </c>
      <c r="G468" s="2">
        <v>1120</v>
      </c>
      <c r="H468" s="1">
        <f t="shared" si="21"/>
        <v>907.56302521008411</v>
      </c>
      <c r="I468" s="2">
        <v>1080</v>
      </c>
      <c r="J468" s="18" t="s">
        <v>353</v>
      </c>
      <c r="K468" s="16">
        <v>45492</v>
      </c>
      <c r="L468" s="18">
        <v>36</v>
      </c>
    </row>
    <row r="469" spans="1:12" x14ac:dyDescent="0.2">
      <c r="A469" s="22">
        <v>8717163648254</v>
      </c>
      <c r="B469" s="12" t="s">
        <v>695</v>
      </c>
      <c r="C469" s="13">
        <v>24</v>
      </c>
      <c r="D469" s="14" t="s">
        <v>50</v>
      </c>
      <c r="E469" s="2">
        <f>830.5/1.19</f>
        <v>697.89915966386559</v>
      </c>
      <c r="F469" s="1">
        <f t="shared" si="20"/>
        <v>941.17647058823536</v>
      </c>
      <c r="G469" s="2">
        <v>1120</v>
      </c>
      <c r="H469" s="1">
        <f t="shared" si="21"/>
        <v>907.56302521008411</v>
      </c>
      <c r="I469" s="2">
        <v>1080</v>
      </c>
      <c r="J469" s="18" t="s">
        <v>353</v>
      </c>
      <c r="K469" s="16">
        <v>45492</v>
      </c>
      <c r="L469" s="18">
        <v>12</v>
      </c>
    </row>
    <row r="470" spans="1:12" x14ac:dyDescent="0.2">
      <c r="A470" s="22">
        <v>8720181156250</v>
      </c>
      <c r="B470" s="12" t="s">
        <v>513</v>
      </c>
      <c r="C470" s="13">
        <v>24</v>
      </c>
      <c r="D470" s="14" t="s">
        <v>50</v>
      </c>
      <c r="E470" s="2">
        <f>15328/24</f>
        <v>638.66666666666663</v>
      </c>
      <c r="F470" s="1">
        <f t="shared" si="20"/>
        <v>941.17647058823536</v>
      </c>
      <c r="G470" s="2">
        <v>1120</v>
      </c>
      <c r="H470" s="1">
        <f t="shared" si="21"/>
        <v>907.56302521008411</v>
      </c>
      <c r="I470" s="2">
        <v>1080</v>
      </c>
      <c r="J470" s="18" t="s">
        <v>35</v>
      </c>
      <c r="K470" s="16">
        <v>45237</v>
      </c>
      <c r="L470" s="18">
        <v>24</v>
      </c>
    </row>
    <row r="471" spans="1:12" x14ac:dyDescent="0.2">
      <c r="A471" s="22">
        <v>8720181156243</v>
      </c>
      <c r="B471" s="12" t="s">
        <v>694</v>
      </c>
      <c r="C471" s="13">
        <v>24</v>
      </c>
      <c r="D471" s="14" t="s">
        <v>50</v>
      </c>
      <c r="E471" s="2">
        <f>830.5/1.19</f>
        <v>697.89915966386559</v>
      </c>
      <c r="F471" s="1">
        <f t="shared" si="20"/>
        <v>941.17647058823536</v>
      </c>
      <c r="G471" s="2">
        <v>1120</v>
      </c>
      <c r="H471" s="1">
        <f t="shared" si="21"/>
        <v>907.56302521008411</v>
      </c>
      <c r="I471" s="2">
        <v>1080</v>
      </c>
      <c r="J471" s="18" t="s">
        <v>353</v>
      </c>
      <c r="K471" s="16">
        <v>45492</v>
      </c>
      <c r="L471" s="18">
        <v>12</v>
      </c>
    </row>
    <row r="472" spans="1:12" x14ac:dyDescent="0.2">
      <c r="A472" s="22">
        <v>8720181156267</v>
      </c>
      <c r="B472" s="12" t="s">
        <v>512</v>
      </c>
      <c r="C472" s="13">
        <v>24</v>
      </c>
      <c r="D472" s="14" t="s">
        <v>50</v>
      </c>
      <c r="E472" s="2">
        <f>15328/24</f>
        <v>638.66666666666663</v>
      </c>
      <c r="F472" s="1">
        <f t="shared" si="20"/>
        <v>941.17647058823536</v>
      </c>
      <c r="G472" s="2">
        <v>1120</v>
      </c>
      <c r="H472" s="1">
        <f t="shared" si="21"/>
        <v>907.56302521008411</v>
      </c>
      <c r="I472" s="2">
        <v>1080</v>
      </c>
      <c r="J472" s="18" t="s">
        <v>35</v>
      </c>
      <c r="K472" s="16">
        <v>45237</v>
      </c>
      <c r="L472" s="18">
        <v>24</v>
      </c>
    </row>
    <row r="473" spans="1:12" x14ac:dyDescent="0.2">
      <c r="A473" s="8">
        <v>7804947002263</v>
      </c>
      <c r="B473" s="20" t="s">
        <v>495</v>
      </c>
      <c r="C473" s="13">
        <v>1</v>
      </c>
      <c r="D473" s="14" t="s">
        <v>50</v>
      </c>
      <c r="E473" s="2">
        <v>1135</v>
      </c>
      <c r="F473" s="1">
        <f t="shared" si="20"/>
        <v>1630.2521008403362</v>
      </c>
      <c r="G473" s="2">
        <v>1940</v>
      </c>
      <c r="H473" s="1">
        <f t="shared" si="21"/>
        <v>1563.0252100840337</v>
      </c>
      <c r="I473" s="2">
        <v>1860</v>
      </c>
      <c r="J473" s="18" t="s">
        <v>39</v>
      </c>
      <c r="K473" s="16">
        <v>45131</v>
      </c>
      <c r="L473" s="18">
        <v>3</v>
      </c>
    </row>
    <row r="474" spans="1:12" x14ac:dyDescent="0.2">
      <c r="A474" s="8" t="s">
        <v>53</v>
      </c>
      <c r="B474" s="20" t="s">
        <v>139</v>
      </c>
      <c r="C474" s="13">
        <v>1</v>
      </c>
      <c r="D474" s="14" t="s">
        <v>50</v>
      </c>
      <c r="E474" s="2">
        <f>(4990/1.19)/50</f>
        <v>83.865546218487395</v>
      </c>
      <c r="F474" s="1">
        <f t="shared" si="20"/>
        <v>142.85714285714286</v>
      </c>
      <c r="G474" s="2">
        <v>170</v>
      </c>
      <c r="H474" s="1">
        <f t="shared" si="21"/>
        <v>134.45378151260505</v>
      </c>
      <c r="I474" s="2">
        <v>160</v>
      </c>
      <c r="J474" s="18" t="s">
        <v>19</v>
      </c>
      <c r="K474" s="16">
        <v>45434</v>
      </c>
      <c r="L474" s="18">
        <v>100</v>
      </c>
    </row>
    <row r="475" spans="1:12" x14ac:dyDescent="0.2">
      <c r="A475" s="9">
        <v>7809604028464</v>
      </c>
      <c r="B475" s="12" t="s">
        <v>98</v>
      </c>
      <c r="C475" s="13">
        <v>40</v>
      </c>
      <c r="D475" s="14" t="s">
        <v>50</v>
      </c>
      <c r="E475" s="2">
        <f>21983/24</f>
        <v>915.95833333333337</v>
      </c>
      <c r="F475" s="1">
        <f t="shared" si="20"/>
        <v>1218.4873949579833</v>
      </c>
      <c r="G475" s="2">
        <v>1450</v>
      </c>
      <c r="H475" s="1">
        <f t="shared" si="21"/>
        <v>1176.4705882352941</v>
      </c>
      <c r="I475" s="2">
        <v>1400</v>
      </c>
      <c r="J475" s="18" t="s">
        <v>35</v>
      </c>
      <c r="K475" s="16">
        <v>45356</v>
      </c>
      <c r="L475" s="18">
        <v>99</v>
      </c>
    </row>
    <row r="476" spans="1:12" x14ac:dyDescent="0.2">
      <c r="A476" s="9">
        <v>7806500962335</v>
      </c>
      <c r="B476" s="12" t="s">
        <v>582</v>
      </c>
      <c r="C476" s="13">
        <v>48</v>
      </c>
      <c r="D476" s="14" t="s">
        <v>50</v>
      </c>
      <c r="E476" s="2">
        <f>13361/30</f>
        <v>445.36666666666667</v>
      </c>
      <c r="F476" s="1">
        <f t="shared" si="20"/>
        <v>588.23529411764707</v>
      </c>
      <c r="G476" s="2">
        <v>700</v>
      </c>
      <c r="H476" s="1">
        <f t="shared" si="21"/>
        <v>563.02521008403369</v>
      </c>
      <c r="I476" s="2">
        <v>670</v>
      </c>
      <c r="J476" s="18" t="s">
        <v>35</v>
      </c>
      <c r="K476" s="16">
        <v>45356</v>
      </c>
      <c r="L476" s="18">
        <v>59</v>
      </c>
    </row>
    <row r="477" spans="1:12" x14ac:dyDescent="0.2">
      <c r="A477" s="45" t="s">
        <v>660</v>
      </c>
      <c r="B477" s="19" t="s">
        <v>659</v>
      </c>
      <c r="C477" s="13">
        <v>24</v>
      </c>
      <c r="D477" s="14" t="s">
        <v>50</v>
      </c>
      <c r="E477" s="2">
        <f>856/1.19</f>
        <v>719.32773109243703</v>
      </c>
      <c r="F477" s="1">
        <f t="shared" si="20"/>
        <v>966.38655462184875</v>
      </c>
      <c r="G477" s="2">
        <v>1150</v>
      </c>
      <c r="H477" s="1">
        <f t="shared" si="21"/>
        <v>924.36974789915973</v>
      </c>
      <c r="I477" s="2">
        <v>1100</v>
      </c>
      <c r="J477" s="18" t="s">
        <v>547</v>
      </c>
      <c r="K477" s="16">
        <v>45455</v>
      </c>
      <c r="L477" s="18">
        <v>19</v>
      </c>
    </row>
    <row r="478" spans="1:12" x14ac:dyDescent="0.2">
      <c r="A478" s="9">
        <v>781159480836</v>
      </c>
      <c r="B478" s="12" t="s">
        <v>543</v>
      </c>
      <c r="C478" s="13">
        <v>1</v>
      </c>
      <c r="D478" s="14" t="s">
        <v>50</v>
      </c>
      <c r="E478" s="2">
        <f>2390/1.19</f>
        <v>2008.4033613445379</v>
      </c>
      <c r="F478" s="1">
        <f t="shared" si="20"/>
        <v>2369.747899159664</v>
      </c>
      <c r="G478" s="2">
        <v>2820</v>
      </c>
      <c r="H478" s="1">
        <f t="shared" si="21"/>
        <v>2294.1176470588234</v>
      </c>
      <c r="I478" s="2">
        <v>2730</v>
      </c>
      <c r="J478" s="18" t="s">
        <v>89</v>
      </c>
      <c r="K478" s="16">
        <v>45310</v>
      </c>
      <c r="L478" s="18">
        <v>26</v>
      </c>
    </row>
    <row r="479" spans="1:12" x14ac:dyDescent="0.2">
      <c r="A479" s="9">
        <v>7806500506829</v>
      </c>
      <c r="B479" s="12" t="s">
        <v>264</v>
      </c>
      <c r="C479" s="13">
        <v>12</v>
      </c>
      <c r="D479" s="14" t="s">
        <v>50</v>
      </c>
      <c r="E479" s="2">
        <f>8815/12</f>
        <v>734.58333333333337</v>
      </c>
      <c r="F479" s="1">
        <f t="shared" si="20"/>
        <v>831.93277310924373</v>
      </c>
      <c r="G479" s="2">
        <v>990</v>
      </c>
      <c r="H479" s="1">
        <f t="shared" si="21"/>
        <v>806.72268907563034</v>
      </c>
      <c r="I479" s="2">
        <v>960</v>
      </c>
      <c r="J479" s="18" t="s">
        <v>35</v>
      </c>
      <c r="K479" s="16">
        <v>45482</v>
      </c>
      <c r="L479" s="18">
        <v>555</v>
      </c>
    </row>
    <row r="480" spans="1:12" x14ac:dyDescent="0.2">
      <c r="A480" s="9">
        <v>7806500508755</v>
      </c>
      <c r="B480" s="12" t="s">
        <v>433</v>
      </c>
      <c r="C480" s="13">
        <v>8</v>
      </c>
      <c r="D480" s="14" t="s">
        <v>50</v>
      </c>
      <c r="E480" s="2">
        <f>8395/8</f>
        <v>1049.375</v>
      </c>
      <c r="F480" s="1">
        <f t="shared" si="20"/>
        <v>1226.8907563025211</v>
      </c>
      <c r="G480" s="2">
        <v>1460</v>
      </c>
      <c r="H480" s="1">
        <f t="shared" si="21"/>
        <v>1184.873949579832</v>
      </c>
      <c r="I480" s="2">
        <v>1410</v>
      </c>
      <c r="J480" s="18" t="s">
        <v>35</v>
      </c>
      <c r="K480" s="16">
        <v>45427</v>
      </c>
      <c r="L480" s="18">
        <v>20</v>
      </c>
    </row>
    <row r="481" spans="1:12" x14ac:dyDescent="0.2">
      <c r="A481" s="9">
        <v>7806500509820</v>
      </c>
      <c r="B481" s="12" t="s">
        <v>265</v>
      </c>
      <c r="C481" s="13">
        <v>8</v>
      </c>
      <c r="D481" s="14" t="s">
        <v>50</v>
      </c>
      <c r="E481" s="2">
        <f>13353/8</f>
        <v>1669.125</v>
      </c>
      <c r="F481" s="1">
        <f t="shared" si="20"/>
        <v>1865.546218487395</v>
      </c>
      <c r="G481" s="2">
        <v>2220</v>
      </c>
      <c r="H481" s="1">
        <f t="shared" si="21"/>
        <v>1806.7226890756303</v>
      </c>
      <c r="I481" s="2">
        <v>2150</v>
      </c>
      <c r="J481" s="18" t="s">
        <v>35</v>
      </c>
      <c r="K481" s="16">
        <v>45482</v>
      </c>
      <c r="L481" s="18">
        <v>147</v>
      </c>
    </row>
    <row r="482" spans="1:12" x14ac:dyDescent="0.2">
      <c r="A482" s="9">
        <v>7806540007904</v>
      </c>
      <c r="B482" s="12" t="s">
        <v>266</v>
      </c>
      <c r="C482" s="13">
        <v>12</v>
      </c>
      <c r="D482" s="14" t="s">
        <v>50</v>
      </c>
      <c r="E482" s="2">
        <f>7387/12</f>
        <v>615.58333333333337</v>
      </c>
      <c r="F482" s="1">
        <f t="shared" si="20"/>
        <v>705.88235294117646</v>
      </c>
      <c r="G482" s="2">
        <v>840</v>
      </c>
      <c r="H482" s="1">
        <f t="shared" si="21"/>
        <v>680.67226890756308</v>
      </c>
      <c r="I482" s="2">
        <v>810</v>
      </c>
      <c r="J482" s="18" t="s">
        <v>35</v>
      </c>
      <c r="K482" s="16">
        <v>45482</v>
      </c>
      <c r="L482" s="18">
        <v>908</v>
      </c>
    </row>
    <row r="483" spans="1:12" x14ac:dyDescent="0.2">
      <c r="A483" s="9">
        <v>7804674450177</v>
      </c>
      <c r="B483" s="12" t="s">
        <v>418</v>
      </c>
      <c r="C483" s="13">
        <v>6</v>
      </c>
      <c r="D483" s="14" t="s">
        <v>50</v>
      </c>
      <c r="E483" s="2">
        <f>5600/1.19</f>
        <v>4705.8823529411766</v>
      </c>
      <c r="F483" s="1">
        <f t="shared" si="20"/>
        <v>6638.6554621848745</v>
      </c>
      <c r="G483" s="2">
        <v>7900</v>
      </c>
      <c r="H483" s="1">
        <f t="shared" si="21"/>
        <v>6512.6050420168067</v>
      </c>
      <c r="I483" s="2">
        <v>7750</v>
      </c>
      <c r="J483" s="18" t="s">
        <v>19</v>
      </c>
      <c r="K483" s="16">
        <v>45434</v>
      </c>
      <c r="L483" s="18">
        <v>6</v>
      </c>
    </row>
    <row r="484" spans="1:12" x14ac:dyDescent="0.2">
      <c r="A484" s="8">
        <v>7804670070355</v>
      </c>
      <c r="B484" s="12" t="s">
        <v>580</v>
      </c>
      <c r="C484" s="13">
        <v>8</v>
      </c>
      <c r="D484" s="14" t="s">
        <v>50</v>
      </c>
      <c r="E484" s="2">
        <f>9571/8</f>
        <v>1196.375</v>
      </c>
      <c r="F484" s="1">
        <f t="shared" si="20"/>
        <v>1411.7647058823529</v>
      </c>
      <c r="G484" s="2">
        <v>1680</v>
      </c>
      <c r="H484" s="1">
        <f t="shared" si="21"/>
        <v>1369.747899159664</v>
      </c>
      <c r="I484" s="2">
        <v>1630</v>
      </c>
      <c r="J484" s="18" t="s">
        <v>35</v>
      </c>
      <c r="K484" s="16">
        <v>45356</v>
      </c>
      <c r="L484" s="18">
        <v>102</v>
      </c>
    </row>
    <row r="485" spans="1:12" x14ac:dyDescent="0.2">
      <c r="A485" s="8">
        <v>7804670070478</v>
      </c>
      <c r="B485" s="12" t="s">
        <v>581</v>
      </c>
      <c r="C485" s="13">
        <v>8</v>
      </c>
      <c r="D485" s="14" t="s">
        <v>50</v>
      </c>
      <c r="E485" s="2">
        <f>6294/8</f>
        <v>786.75</v>
      </c>
      <c r="F485" s="1">
        <f t="shared" si="20"/>
        <v>924.36974789915973</v>
      </c>
      <c r="G485" s="2">
        <v>1100</v>
      </c>
      <c r="H485" s="1">
        <f t="shared" si="21"/>
        <v>890.75630252100848</v>
      </c>
      <c r="I485" s="2">
        <v>1060</v>
      </c>
      <c r="J485" s="18" t="s">
        <v>35</v>
      </c>
      <c r="K485" s="37">
        <v>45427</v>
      </c>
      <c r="L485" s="18">
        <v>125</v>
      </c>
    </row>
    <row r="486" spans="1:12" x14ac:dyDescent="0.2">
      <c r="A486" s="9">
        <v>7809604029782</v>
      </c>
      <c r="B486" s="12" t="s">
        <v>267</v>
      </c>
      <c r="C486" s="13">
        <v>8</v>
      </c>
      <c r="D486" s="14" t="s">
        <v>50</v>
      </c>
      <c r="E486" s="2">
        <f>6714/8</f>
        <v>839.25</v>
      </c>
      <c r="F486" s="1">
        <f t="shared" si="20"/>
        <v>991.59663865546224</v>
      </c>
      <c r="G486" s="2">
        <v>1180</v>
      </c>
      <c r="H486" s="1">
        <f t="shared" si="21"/>
        <v>957.98319327731099</v>
      </c>
      <c r="I486" s="2">
        <v>1140</v>
      </c>
      <c r="J486" s="18" t="s">
        <v>35</v>
      </c>
      <c r="K486" s="16">
        <v>45482</v>
      </c>
      <c r="L486" s="18">
        <v>356</v>
      </c>
    </row>
    <row r="487" spans="1:12" x14ac:dyDescent="0.2">
      <c r="A487" s="9">
        <v>7809604028099</v>
      </c>
      <c r="B487" s="12" t="s">
        <v>268</v>
      </c>
      <c r="C487" s="13">
        <v>12</v>
      </c>
      <c r="D487" s="14" t="s">
        <v>50</v>
      </c>
      <c r="E487" s="2">
        <f>8057/12</f>
        <v>671.41666666666663</v>
      </c>
      <c r="F487" s="1">
        <f t="shared" si="20"/>
        <v>781.51260504201684</v>
      </c>
      <c r="G487" s="2">
        <v>930</v>
      </c>
      <c r="H487" s="1">
        <f t="shared" si="21"/>
        <v>756.30252100840335</v>
      </c>
      <c r="I487" s="2">
        <v>900</v>
      </c>
      <c r="J487" s="18" t="s">
        <v>353</v>
      </c>
      <c r="K487" s="16">
        <v>45348</v>
      </c>
      <c r="L487" s="18">
        <v>245</v>
      </c>
    </row>
    <row r="488" spans="1:12" x14ac:dyDescent="0.2">
      <c r="A488" s="9">
        <v>7809604026644</v>
      </c>
      <c r="B488" s="12" t="s">
        <v>483</v>
      </c>
      <c r="C488" s="13">
        <v>8</v>
      </c>
      <c r="D488" s="14" t="s">
        <v>50</v>
      </c>
      <c r="E488" s="2">
        <f>1349/1.19</f>
        <v>1133.6134453781513</v>
      </c>
      <c r="F488" s="1">
        <f t="shared" si="20"/>
        <v>1252.1008403361345</v>
      </c>
      <c r="G488" s="2">
        <v>1490</v>
      </c>
      <c r="H488" s="1">
        <f t="shared" si="21"/>
        <v>1210.0840336134454</v>
      </c>
      <c r="I488" s="2">
        <v>1440</v>
      </c>
      <c r="J488" s="18" t="s">
        <v>353</v>
      </c>
      <c r="K488" s="16">
        <v>45356</v>
      </c>
      <c r="L488" s="18">
        <v>562</v>
      </c>
    </row>
    <row r="489" spans="1:12" x14ac:dyDescent="0.2">
      <c r="A489" s="8">
        <v>7804653341168</v>
      </c>
      <c r="B489" s="12" t="s">
        <v>269</v>
      </c>
      <c r="C489" s="13">
        <v>12</v>
      </c>
      <c r="D489" s="14" t="s">
        <v>50</v>
      </c>
      <c r="E489" s="2">
        <f>7807/12</f>
        <v>650.58333333333337</v>
      </c>
      <c r="F489" s="1">
        <f t="shared" si="20"/>
        <v>747.89915966386559</v>
      </c>
      <c r="G489" s="2">
        <v>890</v>
      </c>
      <c r="H489" s="1">
        <f t="shared" si="21"/>
        <v>722.68907563025209</v>
      </c>
      <c r="I489" s="2">
        <v>860</v>
      </c>
      <c r="J489" s="18" t="s">
        <v>35</v>
      </c>
      <c r="K489" s="16">
        <v>45356</v>
      </c>
      <c r="L489" s="18">
        <v>27</v>
      </c>
    </row>
    <row r="490" spans="1:12" x14ac:dyDescent="0.2">
      <c r="A490" s="8">
        <v>7804653340215</v>
      </c>
      <c r="B490" s="12" t="s">
        <v>421</v>
      </c>
      <c r="C490" s="13">
        <v>8</v>
      </c>
      <c r="D490" s="14" t="s">
        <v>50</v>
      </c>
      <c r="E490" s="2">
        <f>10832/8</f>
        <v>1354</v>
      </c>
      <c r="F490" s="1">
        <f t="shared" si="20"/>
        <v>1579.8319327731092</v>
      </c>
      <c r="G490" s="2">
        <v>1880</v>
      </c>
      <c r="H490" s="1">
        <f t="shared" si="21"/>
        <v>1529.4117647058824</v>
      </c>
      <c r="I490" s="2">
        <v>1820</v>
      </c>
      <c r="J490" s="18" t="s">
        <v>35</v>
      </c>
      <c r="K490" s="16">
        <v>45427</v>
      </c>
      <c r="L490" s="18">
        <v>66</v>
      </c>
    </row>
    <row r="491" spans="1:12" x14ac:dyDescent="0.2">
      <c r="A491" s="8">
        <v>7804653341045</v>
      </c>
      <c r="B491" s="12" t="s">
        <v>270</v>
      </c>
      <c r="C491" s="13">
        <v>8</v>
      </c>
      <c r="D491" s="14" t="s">
        <v>50</v>
      </c>
      <c r="E491" s="2">
        <f>7218/8</f>
        <v>902.25</v>
      </c>
      <c r="F491" s="1">
        <f t="shared" si="20"/>
        <v>1042.0168067226891</v>
      </c>
      <c r="G491" s="2">
        <v>1240</v>
      </c>
      <c r="H491" s="1">
        <f t="shared" si="21"/>
        <v>1008.4033613445379</v>
      </c>
      <c r="I491" s="2">
        <v>1200</v>
      </c>
      <c r="J491" s="18" t="s">
        <v>35</v>
      </c>
      <c r="K491" s="41">
        <v>45482</v>
      </c>
      <c r="L491" s="18">
        <v>102</v>
      </c>
    </row>
    <row r="492" spans="1:12" x14ac:dyDescent="0.2">
      <c r="A492" s="22">
        <v>7798081286378</v>
      </c>
      <c r="B492" s="12" t="s">
        <v>112</v>
      </c>
      <c r="C492" s="13">
        <v>10</v>
      </c>
      <c r="D492" s="14" t="s">
        <v>50</v>
      </c>
      <c r="E492" s="2">
        <f>(111600/2)/20</f>
        <v>2790</v>
      </c>
      <c r="F492" s="1">
        <f t="shared" si="20"/>
        <v>3731.09243697479</v>
      </c>
      <c r="G492" s="2">
        <v>4440</v>
      </c>
      <c r="H492" s="1">
        <f t="shared" si="21"/>
        <v>3588.2352941176473</v>
      </c>
      <c r="I492" s="2">
        <v>4270</v>
      </c>
      <c r="J492" s="18" t="s">
        <v>36</v>
      </c>
      <c r="K492" s="16">
        <v>44698</v>
      </c>
      <c r="L492" s="18">
        <v>10</v>
      </c>
    </row>
    <row r="493" spans="1:12" x14ac:dyDescent="0.2">
      <c r="A493" s="22">
        <v>7798081286354</v>
      </c>
      <c r="B493" s="12" t="s">
        <v>113</v>
      </c>
      <c r="C493" s="13">
        <v>10</v>
      </c>
      <c r="D493" s="14" t="s">
        <v>50</v>
      </c>
      <c r="E493" s="2">
        <f>(108000/2)/20</f>
        <v>2700</v>
      </c>
      <c r="F493" s="1">
        <f t="shared" si="20"/>
        <v>3605.042016806723</v>
      </c>
      <c r="G493" s="2">
        <v>4290</v>
      </c>
      <c r="H493" s="1">
        <f t="shared" si="21"/>
        <v>3470.588235294118</v>
      </c>
      <c r="I493" s="2">
        <v>4130</v>
      </c>
      <c r="J493" s="18" t="s">
        <v>36</v>
      </c>
      <c r="K493" s="37">
        <v>44698</v>
      </c>
      <c r="L493" s="18">
        <v>10</v>
      </c>
    </row>
    <row r="494" spans="1:12" x14ac:dyDescent="0.2">
      <c r="A494" s="22">
        <v>7804670490177</v>
      </c>
      <c r="B494" s="12" t="s">
        <v>118</v>
      </c>
      <c r="C494" s="13">
        <v>40</v>
      </c>
      <c r="D494" s="14" t="s">
        <v>50</v>
      </c>
      <c r="E494" s="2">
        <f>(148957/2)/40</f>
        <v>1861.9625000000001</v>
      </c>
      <c r="F494" s="1">
        <f t="shared" si="20"/>
        <v>2495.7983193277314</v>
      </c>
      <c r="G494" s="2">
        <v>2970</v>
      </c>
      <c r="H494" s="1">
        <f t="shared" si="21"/>
        <v>2394.9579831932774</v>
      </c>
      <c r="I494" s="2">
        <v>2850</v>
      </c>
      <c r="J494" s="18" t="s">
        <v>36</v>
      </c>
      <c r="K494" s="16">
        <v>44698</v>
      </c>
      <c r="L494" s="18">
        <v>920</v>
      </c>
    </row>
    <row r="495" spans="1:12" x14ac:dyDescent="0.2">
      <c r="A495" s="22">
        <v>7804670490160</v>
      </c>
      <c r="B495" s="12" t="s">
        <v>154</v>
      </c>
      <c r="C495" s="13">
        <v>40</v>
      </c>
      <c r="D495" s="14" t="s">
        <v>50</v>
      </c>
      <c r="E495" s="2">
        <f>(124200/1)/60</f>
        <v>2070</v>
      </c>
      <c r="F495" s="1">
        <f t="shared" si="20"/>
        <v>2773.1092436974791</v>
      </c>
      <c r="G495" s="2">
        <v>3300</v>
      </c>
      <c r="H495" s="1">
        <f t="shared" si="21"/>
        <v>2663.8655462184875</v>
      </c>
      <c r="I495" s="2">
        <v>3170</v>
      </c>
      <c r="J495" s="18" t="s">
        <v>36</v>
      </c>
      <c r="K495" s="16">
        <v>44698</v>
      </c>
      <c r="L495" s="18">
        <v>380</v>
      </c>
    </row>
    <row r="496" spans="1:12" x14ac:dyDescent="0.2">
      <c r="A496" s="22">
        <v>7798081285623</v>
      </c>
      <c r="B496" s="12" t="s">
        <v>155</v>
      </c>
      <c r="C496" s="13">
        <v>24</v>
      </c>
      <c r="D496" s="14" t="s">
        <v>50</v>
      </c>
      <c r="E496" s="2">
        <f>(60299/1)/20</f>
        <v>3014.95</v>
      </c>
      <c r="F496" s="1">
        <f t="shared" si="20"/>
        <v>4025.2100840336138</v>
      </c>
      <c r="G496" s="2">
        <v>4790</v>
      </c>
      <c r="H496" s="1">
        <f t="shared" si="21"/>
        <v>3873.9495798319331</v>
      </c>
      <c r="I496" s="2">
        <v>4610</v>
      </c>
      <c r="J496" s="18" t="s">
        <v>36</v>
      </c>
      <c r="K496" s="16">
        <v>44698</v>
      </c>
      <c r="L496" s="18">
        <v>9</v>
      </c>
    </row>
    <row r="497" spans="1:12" x14ac:dyDescent="0.2">
      <c r="A497" s="22">
        <v>7798081285630</v>
      </c>
      <c r="B497" s="12" t="s">
        <v>156</v>
      </c>
      <c r="C497" s="13">
        <v>12</v>
      </c>
      <c r="D497" s="14" t="s">
        <v>50</v>
      </c>
      <c r="E497" s="2">
        <v>2300</v>
      </c>
      <c r="F497" s="1">
        <f t="shared" si="20"/>
        <v>3075.6302521008406</v>
      </c>
      <c r="G497" s="2">
        <v>3660</v>
      </c>
      <c r="H497" s="1">
        <f t="shared" si="21"/>
        <v>2957.9831932773109</v>
      </c>
      <c r="I497" s="2">
        <v>3520</v>
      </c>
      <c r="J497" s="18" t="s">
        <v>36</v>
      </c>
      <c r="K497" s="16">
        <v>44698</v>
      </c>
      <c r="L497" s="18">
        <v>11</v>
      </c>
    </row>
    <row r="498" spans="1:12" x14ac:dyDescent="0.2">
      <c r="A498" s="9">
        <v>7756726001809</v>
      </c>
      <c r="B498" s="19" t="s">
        <v>491</v>
      </c>
      <c r="C498" s="13">
        <v>24</v>
      </c>
      <c r="D498" s="14" t="s">
        <v>50</v>
      </c>
      <c r="E498" s="2">
        <v>2300</v>
      </c>
      <c r="F498" s="1">
        <f t="shared" si="20"/>
        <v>3075.6302521008406</v>
      </c>
      <c r="G498" s="2">
        <v>3660</v>
      </c>
      <c r="H498" s="1">
        <f t="shared" si="21"/>
        <v>2957.9831932773109</v>
      </c>
      <c r="I498" s="2">
        <v>3520</v>
      </c>
      <c r="J498" s="18"/>
      <c r="K498" s="16">
        <v>45426</v>
      </c>
      <c r="L498" s="18">
        <v>25</v>
      </c>
    </row>
    <row r="499" spans="1:12" x14ac:dyDescent="0.2">
      <c r="A499" s="8">
        <v>41333016634</v>
      </c>
      <c r="B499" s="12" t="s">
        <v>271</v>
      </c>
      <c r="C499" s="13">
        <v>12</v>
      </c>
      <c r="D499" s="14" t="s">
        <v>50</v>
      </c>
      <c r="E499" s="2">
        <f>6383/12</f>
        <v>531.91666666666663</v>
      </c>
      <c r="F499" s="1">
        <f t="shared" si="20"/>
        <v>672.26890756302521</v>
      </c>
      <c r="G499" s="2">
        <v>800</v>
      </c>
      <c r="H499" s="1">
        <f t="shared" si="21"/>
        <v>647.05882352941182</v>
      </c>
      <c r="I499" s="2">
        <v>770</v>
      </c>
      <c r="J499" s="18" t="s">
        <v>30</v>
      </c>
      <c r="K499" s="16">
        <v>45426</v>
      </c>
      <c r="L499" s="18">
        <v>12</v>
      </c>
    </row>
    <row r="500" spans="1:12" x14ac:dyDescent="0.2">
      <c r="A500" s="8">
        <v>41333428482</v>
      </c>
      <c r="B500" s="12" t="s">
        <v>272</v>
      </c>
      <c r="C500" s="13">
        <v>6</v>
      </c>
      <c r="D500" s="14" t="s">
        <v>50</v>
      </c>
      <c r="E500" s="2">
        <f>3192/6</f>
        <v>532</v>
      </c>
      <c r="F500" s="1">
        <f t="shared" si="20"/>
        <v>672.26890756302521</v>
      </c>
      <c r="G500" s="2">
        <v>800</v>
      </c>
      <c r="H500" s="1">
        <f t="shared" si="21"/>
        <v>647.05882352941182</v>
      </c>
      <c r="I500" s="2">
        <v>770</v>
      </c>
      <c r="J500" s="18" t="s">
        <v>30</v>
      </c>
      <c r="K500" s="16">
        <v>45426</v>
      </c>
      <c r="L500" s="18">
        <v>18</v>
      </c>
    </row>
    <row r="501" spans="1:12" x14ac:dyDescent="0.2">
      <c r="A501" s="13">
        <v>41333038889</v>
      </c>
      <c r="B501" s="12" t="s">
        <v>639</v>
      </c>
      <c r="C501" s="13">
        <v>5</v>
      </c>
      <c r="D501" s="14" t="s">
        <v>50</v>
      </c>
      <c r="E501" s="2">
        <f>2424/5</f>
        <v>484.8</v>
      </c>
      <c r="F501" s="1">
        <f t="shared" si="20"/>
        <v>672.26890756302521</v>
      </c>
      <c r="G501" s="2">
        <v>800</v>
      </c>
      <c r="H501" s="1">
        <f t="shared" si="21"/>
        <v>647.05882352941182</v>
      </c>
      <c r="I501" s="2">
        <v>770</v>
      </c>
      <c r="J501" s="18" t="s">
        <v>30</v>
      </c>
      <c r="K501" s="16">
        <v>45426</v>
      </c>
      <c r="L501" s="18">
        <v>5</v>
      </c>
    </row>
    <row r="502" spans="1:12" x14ac:dyDescent="0.2">
      <c r="A502" s="13">
        <v>41333038872</v>
      </c>
      <c r="B502" s="12" t="s">
        <v>642</v>
      </c>
      <c r="C502" s="13">
        <v>5</v>
      </c>
      <c r="D502" s="14" t="s">
        <v>50</v>
      </c>
      <c r="E502" s="2">
        <f>2424/5</f>
        <v>484.8</v>
      </c>
      <c r="F502" s="1">
        <f t="shared" si="20"/>
        <v>672.26890756302521</v>
      </c>
      <c r="G502" s="2">
        <v>800</v>
      </c>
      <c r="H502" s="1">
        <f t="shared" si="21"/>
        <v>647.05882352941182</v>
      </c>
      <c r="I502" s="2">
        <v>770</v>
      </c>
      <c r="J502" s="18" t="s">
        <v>30</v>
      </c>
      <c r="K502" s="16">
        <v>45426</v>
      </c>
      <c r="L502" s="18">
        <v>5</v>
      </c>
    </row>
    <row r="503" spans="1:12" x14ac:dyDescent="0.2">
      <c r="A503" s="13">
        <v>41333038865</v>
      </c>
      <c r="B503" s="12" t="s">
        <v>501</v>
      </c>
      <c r="C503" s="13">
        <v>5</v>
      </c>
      <c r="D503" s="14" t="s">
        <v>50</v>
      </c>
      <c r="E503" s="2">
        <f>2424/5</f>
        <v>484.8</v>
      </c>
      <c r="F503" s="1">
        <f t="shared" si="20"/>
        <v>672.26890756302521</v>
      </c>
      <c r="G503" s="2">
        <v>800</v>
      </c>
      <c r="H503" s="1">
        <f t="shared" si="21"/>
        <v>647.05882352941182</v>
      </c>
      <c r="I503" s="2">
        <v>770</v>
      </c>
      <c r="J503" s="18" t="s">
        <v>30</v>
      </c>
      <c r="K503" s="16">
        <v>45426</v>
      </c>
      <c r="L503" s="18">
        <v>5</v>
      </c>
    </row>
    <row r="504" spans="1:12" x14ac:dyDescent="0.2">
      <c r="A504" s="8">
        <v>7441005011340</v>
      </c>
      <c r="B504" s="12" t="s">
        <v>166</v>
      </c>
      <c r="C504" s="13">
        <v>24</v>
      </c>
      <c r="D504" s="14" t="s">
        <v>50</v>
      </c>
      <c r="E504" s="2">
        <f>224*2</f>
        <v>448</v>
      </c>
      <c r="F504" s="1">
        <f t="shared" si="20"/>
        <v>588.23529411764707</v>
      </c>
      <c r="G504" s="2">
        <v>700</v>
      </c>
      <c r="H504" s="1">
        <f t="shared" si="21"/>
        <v>571.42857142857144</v>
      </c>
      <c r="I504" s="2">
        <v>680</v>
      </c>
      <c r="J504" s="18" t="s">
        <v>18</v>
      </c>
      <c r="K504" s="16">
        <v>44613</v>
      </c>
      <c r="L504" s="18">
        <v>108</v>
      </c>
    </row>
    <row r="505" spans="1:12" x14ac:dyDescent="0.2">
      <c r="A505" s="8">
        <v>7808304316437</v>
      </c>
      <c r="B505" s="12" t="s">
        <v>520</v>
      </c>
      <c r="C505" s="13">
        <v>24</v>
      </c>
      <c r="D505" s="14" t="s">
        <v>50</v>
      </c>
      <c r="E505" s="2">
        <v>420</v>
      </c>
      <c r="F505" s="1">
        <f t="shared" si="20"/>
        <v>571.42857142857144</v>
      </c>
      <c r="G505" s="2">
        <v>680</v>
      </c>
      <c r="H505" s="1">
        <f t="shared" si="21"/>
        <v>546.21848739495806</v>
      </c>
      <c r="I505" s="2">
        <v>650</v>
      </c>
      <c r="J505" s="18" t="s">
        <v>547</v>
      </c>
      <c r="K505" s="16">
        <v>45243</v>
      </c>
      <c r="L505" s="18">
        <v>59</v>
      </c>
    </row>
    <row r="506" spans="1:12" x14ac:dyDescent="0.2">
      <c r="A506" s="22">
        <v>7804612221647</v>
      </c>
      <c r="B506" s="12" t="s">
        <v>590</v>
      </c>
      <c r="C506" s="13">
        <v>1</v>
      </c>
      <c r="D506" s="14" t="s">
        <v>50</v>
      </c>
      <c r="E506" s="2">
        <v>711</v>
      </c>
      <c r="F506" s="1">
        <f t="shared" si="20"/>
        <v>1008.4033613445379</v>
      </c>
      <c r="G506" s="2">
        <v>1200</v>
      </c>
      <c r="H506" s="1">
        <f t="shared" si="21"/>
        <v>1008.4033613445379</v>
      </c>
      <c r="I506" s="2">
        <v>1200</v>
      </c>
      <c r="J506" s="18" t="s">
        <v>592</v>
      </c>
      <c r="K506" s="16">
        <v>45367</v>
      </c>
      <c r="L506" s="18">
        <v>4</v>
      </c>
    </row>
    <row r="507" spans="1:12" x14ac:dyDescent="0.2">
      <c r="A507" s="22">
        <v>7804612220213</v>
      </c>
      <c r="B507" s="12" t="s">
        <v>596</v>
      </c>
      <c r="C507" s="13">
        <v>1</v>
      </c>
      <c r="D507" s="14" t="s">
        <v>50</v>
      </c>
      <c r="E507" s="2">
        <v>963</v>
      </c>
      <c r="F507" s="1">
        <f t="shared" si="20"/>
        <v>1344.5378151260504</v>
      </c>
      <c r="G507" s="2">
        <v>1600</v>
      </c>
      <c r="H507" s="1">
        <f t="shared" si="21"/>
        <v>1344.5378151260504</v>
      </c>
      <c r="I507" s="2">
        <v>1600</v>
      </c>
      <c r="J507" s="18" t="s">
        <v>592</v>
      </c>
      <c r="K507" s="16">
        <v>45367</v>
      </c>
      <c r="L507" s="18">
        <v>2</v>
      </c>
    </row>
    <row r="508" spans="1:12" x14ac:dyDescent="0.2">
      <c r="A508" s="9" t="s">
        <v>64</v>
      </c>
      <c r="B508" s="12" t="s">
        <v>704</v>
      </c>
      <c r="C508" s="13">
        <v>1</v>
      </c>
      <c r="D508" s="14" t="s">
        <v>50</v>
      </c>
      <c r="E508" s="2">
        <v>200</v>
      </c>
      <c r="F508" s="1">
        <f t="shared" si="20"/>
        <v>336.1344537815126</v>
      </c>
      <c r="G508" s="2">
        <v>400</v>
      </c>
      <c r="H508" s="1">
        <f t="shared" si="21"/>
        <v>294.11764705882354</v>
      </c>
      <c r="I508" s="2">
        <v>350</v>
      </c>
      <c r="J508" s="18" t="s">
        <v>85</v>
      </c>
      <c r="K508" s="16">
        <v>45404</v>
      </c>
      <c r="L508" s="18">
        <v>30</v>
      </c>
    </row>
    <row r="509" spans="1:12" x14ac:dyDescent="0.2">
      <c r="A509" s="9" t="s">
        <v>763</v>
      </c>
      <c r="B509" s="12" t="s">
        <v>703</v>
      </c>
      <c r="C509" s="13">
        <v>1</v>
      </c>
      <c r="D509" s="14" t="s">
        <v>50</v>
      </c>
      <c r="E509" s="2">
        <v>200</v>
      </c>
      <c r="F509" s="1">
        <f t="shared" si="20"/>
        <v>336.1344537815126</v>
      </c>
      <c r="G509" s="2">
        <v>400</v>
      </c>
      <c r="H509" s="1">
        <f t="shared" si="21"/>
        <v>294.11764705882354</v>
      </c>
      <c r="I509" s="2">
        <v>350</v>
      </c>
      <c r="J509" s="18" t="s">
        <v>85</v>
      </c>
      <c r="K509" s="16">
        <v>45404</v>
      </c>
      <c r="L509" s="18">
        <v>30</v>
      </c>
    </row>
    <row r="510" spans="1:12" x14ac:dyDescent="0.2">
      <c r="A510" s="9" t="s">
        <v>110</v>
      </c>
      <c r="B510" s="12" t="s">
        <v>273</v>
      </c>
      <c r="C510" s="13">
        <v>12</v>
      </c>
      <c r="D510" s="14" t="s">
        <v>50</v>
      </c>
      <c r="E510" s="2">
        <v>916</v>
      </c>
      <c r="F510" s="1">
        <f t="shared" si="20"/>
        <v>2100.840336134454</v>
      </c>
      <c r="G510" s="2">
        <v>2500</v>
      </c>
      <c r="H510" s="1">
        <f t="shared" si="21"/>
        <v>1680.6722689075632</v>
      </c>
      <c r="I510" s="2">
        <v>2000</v>
      </c>
      <c r="J510" s="18" t="s">
        <v>20</v>
      </c>
      <c r="K510" s="16">
        <v>45503</v>
      </c>
      <c r="L510" s="18">
        <v>268</v>
      </c>
    </row>
    <row r="511" spans="1:12" x14ac:dyDescent="0.2">
      <c r="A511" s="8" t="s">
        <v>25</v>
      </c>
      <c r="B511" s="12" t="s">
        <v>274</v>
      </c>
      <c r="C511" s="13">
        <v>12</v>
      </c>
      <c r="D511" s="14" t="s">
        <v>50</v>
      </c>
      <c r="E511" s="2">
        <v>916</v>
      </c>
      <c r="F511" s="1">
        <f t="shared" si="20"/>
        <v>2100.840336134454</v>
      </c>
      <c r="G511" s="2">
        <v>2500</v>
      </c>
      <c r="H511" s="1">
        <f t="shared" si="21"/>
        <v>1680.6722689075632</v>
      </c>
      <c r="I511" s="2">
        <v>2000</v>
      </c>
      <c r="J511" s="18" t="s">
        <v>20</v>
      </c>
      <c r="K511" s="16">
        <v>45503</v>
      </c>
      <c r="L511" s="18">
        <v>12</v>
      </c>
    </row>
    <row r="512" spans="1:12" x14ac:dyDescent="0.2">
      <c r="A512" s="8" t="s">
        <v>9</v>
      </c>
      <c r="B512" s="12" t="s">
        <v>72</v>
      </c>
      <c r="C512" s="13">
        <v>1</v>
      </c>
      <c r="D512" s="14" t="s">
        <v>50</v>
      </c>
      <c r="E512" s="2">
        <v>503</v>
      </c>
      <c r="F512" s="1">
        <f t="shared" si="20"/>
        <v>840.3361344537816</v>
      </c>
      <c r="G512" s="2">
        <v>1000</v>
      </c>
      <c r="H512" s="1">
        <f t="shared" si="21"/>
        <v>840.3361344537816</v>
      </c>
      <c r="I512" s="2">
        <v>1000</v>
      </c>
      <c r="J512" s="18" t="s">
        <v>21</v>
      </c>
      <c r="K512" s="16">
        <v>44927</v>
      </c>
      <c r="L512" s="18">
        <v>30</v>
      </c>
    </row>
    <row r="513" spans="1:12" x14ac:dyDescent="0.2">
      <c r="A513" s="8">
        <v>8690879415009</v>
      </c>
      <c r="B513" s="12" t="s">
        <v>275</v>
      </c>
      <c r="C513" s="13">
        <v>6</v>
      </c>
      <c r="D513" s="14" t="s">
        <v>50</v>
      </c>
      <c r="E513" s="2">
        <v>2513</v>
      </c>
      <c r="F513" s="1">
        <f t="shared" si="20"/>
        <v>2478.9915966386557</v>
      </c>
      <c r="G513" s="2">
        <v>2950</v>
      </c>
      <c r="H513" s="1">
        <f t="shared" si="21"/>
        <v>2394.9579831932774</v>
      </c>
      <c r="I513" s="2">
        <v>2850</v>
      </c>
      <c r="J513" s="18" t="s">
        <v>20</v>
      </c>
      <c r="K513" s="16">
        <v>45503</v>
      </c>
      <c r="L513" s="18">
        <v>30</v>
      </c>
    </row>
    <row r="514" spans="1:12" x14ac:dyDescent="0.2">
      <c r="A514" s="8">
        <v>7804947004618</v>
      </c>
      <c r="B514" s="12" t="s">
        <v>276</v>
      </c>
      <c r="C514" s="13">
        <v>1</v>
      </c>
      <c r="D514" s="14" t="s">
        <v>50</v>
      </c>
      <c r="E514" s="2">
        <v>690</v>
      </c>
      <c r="F514" s="1">
        <f t="shared" si="20"/>
        <v>823.52941176470597</v>
      </c>
      <c r="G514" s="2">
        <v>980</v>
      </c>
      <c r="H514" s="1">
        <f t="shared" si="21"/>
        <v>789.9159663865546</v>
      </c>
      <c r="I514" s="2">
        <v>940</v>
      </c>
      <c r="J514" s="18" t="s">
        <v>39</v>
      </c>
      <c r="K514" s="16">
        <v>44775</v>
      </c>
      <c r="L514" s="18">
        <v>10</v>
      </c>
    </row>
    <row r="515" spans="1:12" x14ac:dyDescent="0.2">
      <c r="A515" s="8">
        <v>7804947004601</v>
      </c>
      <c r="B515" s="12" t="s">
        <v>277</v>
      </c>
      <c r="C515" s="13">
        <v>1</v>
      </c>
      <c r="D515" s="14" t="s">
        <v>50</v>
      </c>
      <c r="E515" s="2">
        <v>690</v>
      </c>
      <c r="F515" s="1">
        <f t="shared" ref="F515:F578" si="22">G515/1.19</f>
        <v>823.52941176470597</v>
      </c>
      <c r="G515" s="2">
        <v>980</v>
      </c>
      <c r="H515" s="1">
        <f t="shared" ref="H515:H578" si="23">I515/1.19</f>
        <v>789.9159663865546</v>
      </c>
      <c r="I515" s="2">
        <v>940</v>
      </c>
      <c r="J515" s="18" t="s">
        <v>39</v>
      </c>
      <c r="K515" s="16">
        <v>44775</v>
      </c>
      <c r="L515" s="18">
        <v>10</v>
      </c>
    </row>
    <row r="516" spans="1:12" x14ac:dyDescent="0.2">
      <c r="A516" s="46">
        <v>7804947004595</v>
      </c>
      <c r="B516" s="47" t="s">
        <v>278</v>
      </c>
      <c r="C516" s="48">
        <v>1</v>
      </c>
      <c r="D516" s="49" t="s">
        <v>50</v>
      </c>
      <c r="E516" s="6">
        <v>690</v>
      </c>
      <c r="F516" s="1">
        <f t="shared" si="22"/>
        <v>823.52941176470597</v>
      </c>
      <c r="G516" s="2">
        <v>980</v>
      </c>
      <c r="H516" s="1">
        <f t="shared" si="23"/>
        <v>789.9159663865546</v>
      </c>
      <c r="I516" s="2">
        <v>940</v>
      </c>
      <c r="J516" s="42" t="s">
        <v>39</v>
      </c>
      <c r="K516" s="41">
        <v>44775</v>
      </c>
      <c r="L516" s="18">
        <v>10</v>
      </c>
    </row>
    <row r="517" spans="1:12" x14ac:dyDescent="0.2">
      <c r="A517" s="8">
        <v>7805020001968</v>
      </c>
      <c r="B517" s="12" t="s">
        <v>731</v>
      </c>
      <c r="C517" s="13">
        <v>12</v>
      </c>
      <c r="D517" s="14" t="s">
        <v>50</v>
      </c>
      <c r="E517" s="2">
        <f>14211/12</f>
        <v>1184.25</v>
      </c>
      <c r="F517" s="1">
        <f t="shared" si="22"/>
        <v>1588.2352941176471</v>
      </c>
      <c r="G517" s="2">
        <v>1890</v>
      </c>
      <c r="H517" s="1">
        <f t="shared" si="23"/>
        <v>1512.6050420168067</v>
      </c>
      <c r="I517" s="2">
        <v>1800</v>
      </c>
      <c r="J517" s="18" t="s">
        <v>17</v>
      </c>
      <c r="K517" s="41">
        <v>45157</v>
      </c>
      <c r="L517" s="18">
        <v>12</v>
      </c>
    </row>
    <row r="518" spans="1:12" x14ac:dyDescent="0.2">
      <c r="A518" s="39">
        <v>7805000115913</v>
      </c>
      <c r="B518" s="33" t="s">
        <v>279</v>
      </c>
      <c r="C518" s="34">
        <v>12</v>
      </c>
      <c r="D518" s="35" t="s">
        <v>50</v>
      </c>
      <c r="E518" s="4">
        <f>14622/12</f>
        <v>1218.5</v>
      </c>
      <c r="F518" s="1">
        <f t="shared" si="22"/>
        <v>1588.2352941176471</v>
      </c>
      <c r="G518" s="2">
        <v>1890</v>
      </c>
      <c r="H518" s="1">
        <f t="shared" si="23"/>
        <v>1512.6050420168067</v>
      </c>
      <c r="I518" s="2">
        <v>1800</v>
      </c>
      <c r="J518" s="36" t="s">
        <v>35</v>
      </c>
      <c r="K518" s="16">
        <v>45482</v>
      </c>
      <c r="L518" s="18">
        <v>51</v>
      </c>
    </row>
    <row r="519" spans="1:12" x14ac:dyDescent="0.2">
      <c r="A519" s="9">
        <v>7805000169459</v>
      </c>
      <c r="B519" s="12" t="s">
        <v>280</v>
      </c>
      <c r="C519" s="13">
        <v>18</v>
      </c>
      <c r="D519" s="14" t="s">
        <v>50</v>
      </c>
      <c r="E519" s="2">
        <f>524/1.19</f>
        <v>440.33613445378154</v>
      </c>
      <c r="F519" s="1">
        <f t="shared" si="22"/>
        <v>638.65546218487395</v>
      </c>
      <c r="G519" s="2">
        <v>760</v>
      </c>
      <c r="H519" s="1">
        <f t="shared" si="23"/>
        <v>613.44537815126057</v>
      </c>
      <c r="I519" s="2">
        <v>730</v>
      </c>
      <c r="J519" s="18" t="s">
        <v>353</v>
      </c>
      <c r="K519" s="37">
        <v>45407</v>
      </c>
      <c r="L519" s="18">
        <v>130</v>
      </c>
    </row>
    <row r="520" spans="1:12" x14ac:dyDescent="0.2">
      <c r="A520" s="22">
        <v>3894143695356</v>
      </c>
      <c r="B520" s="12" t="s">
        <v>286</v>
      </c>
      <c r="C520" s="13">
        <v>12</v>
      </c>
      <c r="D520" s="14" t="s">
        <v>50</v>
      </c>
      <c r="E520" s="2">
        <f>1067/1.19</f>
        <v>896.63865546218494</v>
      </c>
      <c r="F520" s="1">
        <f t="shared" si="22"/>
        <v>1512.6050420168067</v>
      </c>
      <c r="G520" s="2">
        <v>1800</v>
      </c>
      <c r="H520" s="1">
        <f t="shared" si="23"/>
        <v>1428.5714285714287</v>
      </c>
      <c r="I520" s="2">
        <v>1700</v>
      </c>
      <c r="J520" s="18" t="s">
        <v>89</v>
      </c>
      <c r="K520" s="16">
        <v>44712</v>
      </c>
      <c r="L520" s="18">
        <v>12</v>
      </c>
    </row>
    <row r="521" spans="1:12" x14ac:dyDescent="0.2">
      <c r="A521" s="22">
        <v>3894143695325</v>
      </c>
      <c r="B521" s="12" t="s">
        <v>287</v>
      </c>
      <c r="C521" s="13">
        <v>12</v>
      </c>
      <c r="D521" s="14" t="s">
        <v>50</v>
      </c>
      <c r="E521" s="2">
        <f>1067/1.19</f>
        <v>896.63865546218494</v>
      </c>
      <c r="F521" s="1">
        <f t="shared" si="22"/>
        <v>1512.6050420168067</v>
      </c>
      <c r="G521" s="2">
        <v>1800</v>
      </c>
      <c r="H521" s="1">
        <f t="shared" si="23"/>
        <v>1428.5714285714287</v>
      </c>
      <c r="I521" s="2">
        <v>1700</v>
      </c>
      <c r="J521" s="18" t="s">
        <v>89</v>
      </c>
      <c r="K521" s="16">
        <v>44673</v>
      </c>
      <c r="L521" s="18">
        <v>12</v>
      </c>
    </row>
    <row r="522" spans="1:12" x14ac:dyDescent="0.2">
      <c r="A522" s="22">
        <v>3894143695363</v>
      </c>
      <c r="B522" s="12" t="s">
        <v>288</v>
      </c>
      <c r="C522" s="13">
        <v>12</v>
      </c>
      <c r="D522" s="14" t="s">
        <v>50</v>
      </c>
      <c r="E522" s="2">
        <v>897</v>
      </c>
      <c r="F522" s="1">
        <f t="shared" si="22"/>
        <v>1512.6050420168067</v>
      </c>
      <c r="G522" s="2">
        <v>1800</v>
      </c>
      <c r="H522" s="1">
        <f t="shared" si="23"/>
        <v>1428.5714285714287</v>
      </c>
      <c r="I522" s="2">
        <v>1700</v>
      </c>
      <c r="J522" s="18" t="s">
        <v>89</v>
      </c>
      <c r="K522" s="16">
        <v>44540</v>
      </c>
      <c r="L522" s="18">
        <v>1</v>
      </c>
    </row>
    <row r="523" spans="1:12" x14ac:dyDescent="0.2">
      <c r="A523" s="22">
        <v>3894143695370</v>
      </c>
      <c r="B523" s="12" t="s">
        <v>289</v>
      </c>
      <c r="C523" s="13">
        <v>12</v>
      </c>
      <c r="D523" s="14" t="s">
        <v>50</v>
      </c>
      <c r="E523" s="2">
        <f>1105/1.19</f>
        <v>928.57142857142867</v>
      </c>
      <c r="F523" s="1">
        <f t="shared" si="22"/>
        <v>1512.6050420168067</v>
      </c>
      <c r="G523" s="2">
        <v>1800</v>
      </c>
      <c r="H523" s="1">
        <f t="shared" si="23"/>
        <v>1428.5714285714287</v>
      </c>
      <c r="I523" s="2">
        <v>1700</v>
      </c>
      <c r="J523" s="18" t="s">
        <v>89</v>
      </c>
      <c r="K523" s="16">
        <v>45163</v>
      </c>
      <c r="L523" s="18">
        <v>12</v>
      </c>
    </row>
    <row r="524" spans="1:12" x14ac:dyDescent="0.2">
      <c r="A524" s="22">
        <v>3894143695394</v>
      </c>
      <c r="B524" s="12" t="s">
        <v>290</v>
      </c>
      <c r="C524" s="13">
        <v>12</v>
      </c>
      <c r="D524" s="14" t="s">
        <v>50</v>
      </c>
      <c r="E524" s="2">
        <f>1067/1.19</f>
        <v>896.63865546218494</v>
      </c>
      <c r="F524" s="1">
        <f t="shared" si="22"/>
        <v>1512.6050420168067</v>
      </c>
      <c r="G524" s="2">
        <v>1800</v>
      </c>
      <c r="H524" s="1">
        <f t="shared" si="23"/>
        <v>1428.5714285714287</v>
      </c>
      <c r="I524" s="2">
        <v>1700</v>
      </c>
      <c r="J524" s="18" t="s">
        <v>89</v>
      </c>
      <c r="K524" s="16">
        <v>44673</v>
      </c>
      <c r="L524" s="18">
        <v>7</v>
      </c>
    </row>
    <row r="525" spans="1:12" x14ac:dyDescent="0.2">
      <c r="A525" s="8">
        <v>8696630133614</v>
      </c>
      <c r="B525" s="20" t="s">
        <v>167</v>
      </c>
      <c r="C525" s="13">
        <v>12</v>
      </c>
      <c r="D525" s="14" t="s">
        <v>50</v>
      </c>
      <c r="E525" s="2">
        <v>1134</v>
      </c>
      <c r="F525" s="1">
        <f t="shared" si="22"/>
        <v>1512.6050420168067</v>
      </c>
      <c r="G525" s="2">
        <v>1800</v>
      </c>
      <c r="H525" s="1">
        <f t="shared" si="23"/>
        <v>1428.5714285714287</v>
      </c>
      <c r="I525" s="2">
        <v>1700</v>
      </c>
      <c r="J525" s="18" t="s">
        <v>20</v>
      </c>
      <c r="K525" s="16">
        <v>45225</v>
      </c>
      <c r="L525" s="18">
        <v>66</v>
      </c>
    </row>
    <row r="526" spans="1:12" x14ac:dyDescent="0.2">
      <c r="A526" s="8">
        <v>8696630132918</v>
      </c>
      <c r="B526" s="20" t="s">
        <v>168</v>
      </c>
      <c r="C526" s="13">
        <v>12</v>
      </c>
      <c r="D526" s="14" t="s">
        <v>50</v>
      </c>
      <c r="E526" s="2">
        <v>1134</v>
      </c>
      <c r="F526" s="1">
        <f t="shared" si="22"/>
        <v>1512.6050420168067</v>
      </c>
      <c r="G526" s="2">
        <v>1800</v>
      </c>
      <c r="H526" s="1">
        <f t="shared" si="23"/>
        <v>1428.5714285714287</v>
      </c>
      <c r="I526" s="2">
        <v>1700</v>
      </c>
      <c r="J526" s="18" t="s">
        <v>20</v>
      </c>
      <c r="K526" s="16">
        <v>45225</v>
      </c>
      <c r="L526" s="18">
        <v>12</v>
      </c>
    </row>
    <row r="527" spans="1:12" x14ac:dyDescent="0.2">
      <c r="A527" s="22">
        <v>3894143695332</v>
      </c>
      <c r="B527" s="12" t="s">
        <v>291</v>
      </c>
      <c r="C527" s="13">
        <v>12</v>
      </c>
      <c r="D527" s="14" t="s">
        <v>50</v>
      </c>
      <c r="E527" s="2">
        <f>1067/1.19</f>
        <v>896.63865546218494</v>
      </c>
      <c r="F527" s="1">
        <f t="shared" si="22"/>
        <v>1512.6050420168067</v>
      </c>
      <c r="G527" s="2">
        <v>1800</v>
      </c>
      <c r="H527" s="1">
        <f t="shared" si="23"/>
        <v>1428.5714285714287</v>
      </c>
      <c r="I527" s="2">
        <v>1700</v>
      </c>
      <c r="J527" s="18" t="s">
        <v>89</v>
      </c>
      <c r="K527" s="16">
        <v>44712</v>
      </c>
      <c r="L527" s="18">
        <v>12</v>
      </c>
    </row>
    <row r="528" spans="1:12" x14ac:dyDescent="0.2">
      <c r="A528" s="8">
        <v>7804673770160</v>
      </c>
      <c r="B528" s="12" t="s">
        <v>292</v>
      </c>
      <c r="C528" s="13">
        <v>1</v>
      </c>
      <c r="D528" s="14" t="s">
        <v>50</v>
      </c>
      <c r="E528" s="2">
        <v>11550</v>
      </c>
      <c r="F528" s="1">
        <f t="shared" si="22"/>
        <v>8403.361344537816</v>
      </c>
      <c r="G528" s="2">
        <v>10000</v>
      </c>
      <c r="H528" s="1">
        <f t="shared" si="23"/>
        <v>8403.361344537816</v>
      </c>
      <c r="I528" s="2">
        <v>10000</v>
      </c>
      <c r="J528" s="18" t="s">
        <v>40</v>
      </c>
      <c r="K528" s="16">
        <v>44672</v>
      </c>
      <c r="L528" s="18">
        <v>10</v>
      </c>
    </row>
    <row r="529" spans="1:12" x14ac:dyDescent="0.2">
      <c r="A529" s="8">
        <v>8696630123848</v>
      </c>
      <c r="B529" s="20" t="s">
        <v>713</v>
      </c>
      <c r="C529" s="13">
        <v>12</v>
      </c>
      <c r="D529" s="14" t="s">
        <v>50</v>
      </c>
      <c r="E529" s="2">
        <v>1462</v>
      </c>
      <c r="F529" s="1">
        <f t="shared" si="22"/>
        <v>1848.7394957983195</v>
      </c>
      <c r="G529" s="2">
        <v>2200</v>
      </c>
      <c r="H529" s="1">
        <f t="shared" si="23"/>
        <v>1764.7058823529412</v>
      </c>
      <c r="I529" s="2">
        <v>2100</v>
      </c>
      <c r="J529" s="18" t="s">
        <v>20</v>
      </c>
      <c r="K529" s="16">
        <v>44558</v>
      </c>
      <c r="L529" s="18">
        <v>39</v>
      </c>
    </row>
    <row r="530" spans="1:12" x14ac:dyDescent="0.2">
      <c r="A530" s="8">
        <v>8696630113573</v>
      </c>
      <c r="B530" s="20" t="s">
        <v>293</v>
      </c>
      <c r="C530" s="13">
        <v>12</v>
      </c>
      <c r="D530" s="14" t="s">
        <v>50</v>
      </c>
      <c r="E530" s="2">
        <v>1605</v>
      </c>
      <c r="F530" s="1">
        <f t="shared" si="22"/>
        <v>1848.7394957983195</v>
      </c>
      <c r="G530" s="2">
        <v>2200</v>
      </c>
      <c r="H530" s="1">
        <f t="shared" si="23"/>
        <v>1764.7058823529412</v>
      </c>
      <c r="I530" s="2">
        <v>2100</v>
      </c>
      <c r="J530" s="18" t="s">
        <v>20</v>
      </c>
      <c r="K530" s="16">
        <v>45503</v>
      </c>
      <c r="L530" s="18">
        <v>24</v>
      </c>
    </row>
    <row r="531" spans="1:12" x14ac:dyDescent="0.2">
      <c r="A531" s="8">
        <v>8696630113603</v>
      </c>
      <c r="B531" s="19" t="s">
        <v>715</v>
      </c>
      <c r="C531" s="13">
        <v>12</v>
      </c>
      <c r="D531" s="14" t="s">
        <v>50</v>
      </c>
      <c r="E531" s="2">
        <v>1462</v>
      </c>
      <c r="F531" s="1">
        <f t="shared" si="22"/>
        <v>1848.7394957983195</v>
      </c>
      <c r="G531" s="2">
        <v>2200</v>
      </c>
      <c r="H531" s="1">
        <f t="shared" si="23"/>
        <v>1764.7058823529412</v>
      </c>
      <c r="I531" s="2">
        <v>2100</v>
      </c>
      <c r="J531" s="18" t="s">
        <v>20</v>
      </c>
      <c r="K531" s="16">
        <v>44558</v>
      </c>
      <c r="L531" s="18">
        <v>12</v>
      </c>
    </row>
    <row r="532" spans="1:12" x14ac:dyDescent="0.2">
      <c r="A532" s="8">
        <v>8696630127334</v>
      </c>
      <c r="B532" s="12" t="s">
        <v>281</v>
      </c>
      <c r="C532" s="13">
        <v>12</v>
      </c>
      <c r="D532" s="14" t="s">
        <v>50</v>
      </c>
      <c r="E532" s="2">
        <v>1462</v>
      </c>
      <c r="F532" s="1">
        <f t="shared" si="22"/>
        <v>1848.7394957983195</v>
      </c>
      <c r="G532" s="2">
        <v>2200</v>
      </c>
      <c r="H532" s="1">
        <f t="shared" si="23"/>
        <v>1764.7058823529412</v>
      </c>
      <c r="I532" s="2">
        <v>2100</v>
      </c>
      <c r="J532" s="18" t="s">
        <v>20</v>
      </c>
      <c r="K532" s="16">
        <v>44558</v>
      </c>
      <c r="L532" s="18">
        <v>23</v>
      </c>
    </row>
    <row r="533" spans="1:12" x14ac:dyDescent="0.2">
      <c r="A533" s="8">
        <v>8696630123831</v>
      </c>
      <c r="B533" s="19" t="s">
        <v>282</v>
      </c>
      <c r="C533" s="13">
        <v>12</v>
      </c>
      <c r="D533" s="14" t="s">
        <v>50</v>
      </c>
      <c r="E533" s="2">
        <v>1462</v>
      </c>
      <c r="F533" s="1">
        <f t="shared" si="22"/>
        <v>1848.7394957983195</v>
      </c>
      <c r="G533" s="2">
        <v>2200</v>
      </c>
      <c r="H533" s="1">
        <f t="shared" si="23"/>
        <v>1764.7058823529412</v>
      </c>
      <c r="I533" s="2">
        <v>2100</v>
      </c>
      <c r="J533" s="18" t="s">
        <v>20</v>
      </c>
      <c r="K533" s="16">
        <v>44558</v>
      </c>
      <c r="L533" s="18">
        <v>55</v>
      </c>
    </row>
    <row r="534" spans="1:12" x14ac:dyDescent="0.2">
      <c r="A534" s="8">
        <v>8696630110916</v>
      </c>
      <c r="B534" s="19" t="s">
        <v>283</v>
      </c>
      <c r="C534" s="13">
        <v>12</v>
      </c>
      <c r="D534" s="14" t="s">
        <v>50</v>
      </c>
      <c r="E534" s="2">
        <v>1462</v>
      </c>
      <c r="F534" s="1">
        <f t="shared" si="22"/>
        <v>1848.7394957983195</v>
      </c>
      <c r="G534" s="2">
        <v>2200</v>
      </c>
      <c r="H534" s="1">
        <f t="shared" si="23"/>
        <v>1764.7058823529412</v>
      </c>
      <c r="I534" s="2">
        <v>2100</v>
      </c>
      <c r="J534" s="18" t="s">
        <v>20</v>
      </c>
      <c r="K534" s="16">
        <v>44558</v>
      </c>
      <c r="L534" s="18">
        <v>13</v>
      </c>
    </row>
    <row r="535" spans="1:12" x14ac:dyDescent="0.2">
      <c r="A535" s="8">
        <v>8696630121868</v>
      </c>
      <c r="B535" s="19" t="s">
        <v>284</v>
      </c>
      <c r="C535" s="13">
        <v>12</v>
      </c>
      <c r="D535" s="14" t="s">
        <v>50</v>
      </c>
      <c r="E535" s="2">
        <v>1462</v>
      </c>
      <c r="F535" s="1">
        <f t="shared" si="22"/>
        <v>1848.7394957983195</v>
      </c>
      <c r="G535" s="2">
        <v>2200</v>
      </c>
      <c r="H535" s="1">
        <f t="shared" si="23"/>
        <v>1764.7058823529412</v>
      </c>
      <c r="I535" s="2">
        <v>2100</v>
      </c>
      <c r="J535" s="18" t="s">
        <v>20</v>
      </c>
      <c r="K535" s="16">
        <v>44558</v>
      </c>
      <c r="L535" s="18">
        <v>14</v>
      </c>
    </row>
    <row r="536" spans="1:12" x14ac:dyDescent="0.2">
      <c r="A536" s="8">
        <v>8696630110879</v>
      </c>
      <c r="B536" s="19" t="s">
        <v>285</v>
      </c>
      <c r="C536" s="13">
        <v>12</v>
      </c>
      <c r="D536" s="14" t="s">
        <v>50</v>
      </c>
      <c r="E536" s="2">
        <v>1462</v>
      </c>
      <c r="F536" s="1">
        <f t="shared" si="22"/>
        <v>1848.7394957983195</v>
      </c>
      <c r="G536" s="2">
        <v>2200</v>
      </c>
      <c r="H536" s="1">
        <f t="shared" si="23"/>
        <v>1764.7058823529412</v>
      </c>
      <c r="I536" s="2">
        <v>2100</v>
      </c>
      <c r="J536" s="18" t="s">
        <v>20</v>
      </c>
      <c r="K536" s="16">
        <v>44558</v>
      </c>
      <c r="L536" s="18">
        <v>26</v>
      </c>
    </row>
    <row r="537" spans="1:12" x14ac:dyDescent="0.2">
      <c r="A537" s="8">
        <v>8696630110824</v>
      </c>
      <c r="B537" s="19" t="s">
        <v>714</v>
      </c>
      <c r="C537" s="13">
        <v>24</v>
      </c>
      <c r="D537" s="14" t="s">
        <v>50</v>
      </c>
      <c r="E537" s="2">
        <v>1462</v>
      </c>
      <c r="F537" s="1">
        <f t="shared" si="22"/>
        <v>1848.7394957983195</v>
      </c>
      <c r="G537" s="2">
        <v>2200</v>
      </c>
      <c r="H537" s="1">
        <f t="shared" si="23"/>
        <v>1764.7058823529412</v>
      </c>
      <c r="I537" s="2">
        <v>2100</v>
      </c>
      <c r="J537" s="18" t="s">
        <v>20</v>
      </c>
      <c r="K537" s="16">
        <v>44558</v>
      </c>
      <c r="L537" s="18">
        <v>36</v>
      </c>
    </row>
    <row r="538" spans="1:12" x14ac:dyDescent="0.2">
      <c r="A538" s="22">
        <v>3894143695349</v>
      </c>
      <c r="B538" s="12" t="s">
        <v>294</v>
      </c>
      <c r="C538" s="13">
        <v>12</v>
      </c>
      <c r="D538" s="14" t="s">
        <v>50</v>
      </c>
      <c r="E538" s="2">
        <f>1067/1.19</f>
        <v>896.63865546218494</v>
      </c>
      <c r="F538" s="1">
        <f t="shared" si="22"/>
        <v>1512.6050420168067</v>
      </c>
      <c r="G538" s="2">
        <v>1800</v>
      </c>
      <c r="H538" s="1">
        <f t="shared" si="23"/>
        <v>1428.5714285714287</v>
      </c>
      <c r="I538" s="2">
        <v>1700</v>
      </c>
      <c r="J538" s="18" t="s">
        <v>89</v>
      </c>
      <c r="K538" s="16">
        <v>44673</v>
      </c>
      <c r="L538" s="18">
        <v>3</v>
      </c>
    </row>
    <row r="539" spans="1:12" x14ac:dyDescent="0.2">
      <c r="A539" s="22">
        <v>7804675620357</v>
      </c>
      <c r="B539" s="12" t="s">
        <v>295</v>
      </c>
      <c r="C539" s="13">
        <v>12</v>
      </c>
      <c r="D539" s="14" t="s">
        <v>50</v>
      </c>
      <c r="E539" s="2">
        <f>1160/1.19</f>
        <v>974.78991596638662</v>
      </c>
      <c r="F539" s="1">
        <f t="shared" si="22"/>
        <v>1512.6050420168067</v>
      </c>
      <c r="G539" s="2">
        <v>1800</v>
      </c>
      <c r="H539" s="1">
        <f t="shared" si="23"/>
        <v>1428.5714285714287</v>
      </c>
      <c r="I539" s="2">
        <v>1700</v>
      </c>
      <c r="J539" s="18" t="s">
        <v>89</v>
      </c>
      <c r="K539" s="16">
        <v>45408</v>
      </c>
      <c r="L539" s="18">
        <v>36</v>
      </c>
    </row>
    <row r="540" spans="1:12" x14ac:dyDescent="0.2">
      <c r="A540" s="22">
        <v>3894143695400</v>
      </c>
      <c r="B540" s="12" t="s">
        <v>296</v>
      </c>
      <c r="C540" s="13">
        <v>12</v>
      </c>
      <c r="D540" s="14" t="s">
        <v>50</v>
      </c>
      <c r="E540" s="2">
        <f>1067/1.19</f>
        <v>896.63865546218494</v>
      </c>
      <c r="F540" s="1">
        <f t="shared" si="22"/>
        <v>1512.6050420168067</v>
      </c>
      <c r="G540" s="2">
        <v>1800</v>
      </c>
      <c r="H540" s="1">
        <f t="shared" si="23"/>
        <v>1428.5714285714287</v>
      </c>
      <c r="I540" s="2">
        <v>1700</v>
      </c>
      <c r="J540" s="18" t="s">
        <v>89</v>
      </c>
      <c r="K540" s="16">
        <v>44712</v>
      </c>
      <c r="L540" s="18">
        <v>41</v>
      </c>
    </row>
    <row r="541" spans="1:12" x14ac:dyDescent="0.2">
      <c r="A541" s="8">
        <v>7805020115788</v>
      </c>
      <c r="B541" s="12" t="s">
        <v>297</v>
      </c>
      <c r="C541" s="13">
        <v>12</v>
      </c>
      <c r="D541" s="14" t="s">
        <v>50</v>
      </c>
      <c r="E541" s="2">
        <f>25840/12</f>
        <v>2153.3333333333335</v>
      </c>
      <c r="F541" s="1">
        <f t="shared" si="22"/>
        <v>2815.1260504201682</v>
      </c>
      <c r="G541" s="2">
        <v>3350</v>
      </c>
      <c r="H541" s="1">
        <f t="shared" si="23"/>
        <v>2731.09243697479</v>
      </c>
      <c r="I541" s="2">
        <v>3250</v>
      </c>
      <c r="J541" s="18" t="s">
        <v>17</v>
      </c>
      <c r="K541" s="16">
        <v>45317</v>
      </c>
      <c r="L541" s="18">
        <v>27</v>
      </c>
    </row>
    <row r="542" spans="1:12" x14ac:dyDescent="0.2">
      <c r="A542" s="9">
        <v>7809593103807</v>
      </c>
      <c r="B542" s="12" t="s">
        <v>496</v>
      </c>
      <c r="C542" s="13">
        <v>12</v>
      </c>
      <c r="D542" s="14" t="s">
        <v>50</v>
      </c>
      <c r="E542" s="2">
        <f>(2788/12)/1.19</f>
        <v>195.23809523809524</v>
      </c>
      <c r="F542" s="1">
        <f t="shared" si="22"/>
        <v>294.11764705882354</v>
      </c>
      <c r="G542" s="2">
        <v>350</v>
      </c>
      <c r="H542" s="1">
        <f t="shared" si="23"/>
        <v>294.11764705882354</v>
      </c>
      <c r="I542" s="2">
        <v>350</v>
      </c>
      <c r="J542" s="18" t="s">
        <v>547</v>
      </c>
      <c r="K542" s="16">
        <v>45455</v>
      </c>
      <c r="L542" s="18">
        <v>120</v>
      </c>
    </row>
    <row r="543" spans="1:12" x14ac:dyDescent="0.2">
      <c r="A543" s="8">
        <v>79400301161</v>
      </c>
      <c r="B543" s="12" t="s">
        <v>551</v>
      </c>
      <c r="C543" s="13">
        <v>12</v>
      </c>
      <c r="D543" s="14" t="s">
        <v>50</v>
      </c>
      <c r="E543" s="1">
        <f>27126/12</f>
        <v>2260.5</v>
      </c>
      <c r="F543" s="1">
        <f t="shared" si="22"/>
        <v>3235.294117647059</v>
      </c>
      <c r="G543" s="1">
        <v>3850</v>
      </c>
      <c r="H543" s="1">
        <f t="shared" si="23"/>
        <v>3151.2605042016808</v>
      </c>
      <c r="I543" s="1">
        <v>3750</v>
      </c>
      <c r="J543" s="18" t="s">
        <v>35</v>
      </c>
      <c r="K543" s="16">
        <v>45427</v>
      </c>
      <c r="L543" s="18">
        <v>7</v>
      </c>
    </row>
    <row r="544" spans="1:12" x14ac:dyDescent="0.2">
      <c r="A544" s="8">
        <v>79400300546</v>
      </c>
      <c r="B544" s="12" t="s">
        <v>637</v>
      </c>
      <c r="C544" s="13">
        <v>12</v>
      </c>
      <c r="D544" s="14" t="s">
        <v>50</v>
      </c>
      <c r="E544" s="1">
        <f>27126/12</f>
        <v>2260.5</v>
      </c>
      <c r="F544" s="1">
        <f t="shared" si="22"/>
        <v>3235.294117647059</v>
      </c>
      <c r="G544" s="1">
        <v>3850</v>
      </c>
      <c r="H544" s="1">
        <f t="shared" si="23"/>
        <v>3151.2605042016808</v>
      </c>
      <c r="I544" s="1">
        <v>3750</v>
      </c>
      <c r="J544" s="18" t="s">
        <v>35</v>
      </c>
      <c r="K544" s="16">
        <v>45427</v>
      </c>
      <c r="L544" s="18">
        <v>4</v>
      </c>
    </row>
    <row r="545" spans="1:12" x14ac:dyDescent="0.2">
      <c r="A545" s="8">
        <v>7791293049533</v>
      </c>
      <c r="B545" s="12" t="s">
        <v>550</v>
      </c>
      <c r="C545" s="13">
        <v>12</v>
      </c>
      <c r="D545" s="14" t="s">
        <v>50</v>
      </c>
      <c r="E545" s="1">
        <f>16639/12</f>
        <v>1386.5833333333333</v>
      </c>
      <c r="F545" s="1">
        <f t="shared" si="22"/>
        <v>1857.1428571428573</v>
      </c>
      <c r="G545" s="1">
        <v>2210</v>
      </c>
      <c r="H545" s="1">
        <f t="shared" si="23"/>
        <v>1773.1092436974791</v>
      </c>
      <c r="I545" s="1">
        <v>2110</v>
      </c>
      <c r="J545" s="18" t="s">
        <v>35</v>
      </c>
      <c r="K545" s="16">
        <v>45482</v>
      </c>
      <c r="L545" s="18">
        <v>4</v>
      </c>
    </row>
    <row r="546" spans="1:12" x14ac:dyDescent="0.2">
      <c r="A546" s="8">
        <v>7791293049571</v>
      </c>
      <c r="B546" s="12" t="s">
        <v>549</v>
      </c>
      <c r="C546" s="13">
        <v>12</v>
      </c>
      <c r="D546" s="14" t="s">
        <v>50</v>
      </c>
      <c r="E546" s="1">
        <f>16639/12</f>
        <v>1386.5833333333333</v>
      </c>
      <c r="F546" s="1">
        <f t="shared" si="22"/>
        <v>1857.1428571428573</v>
      </c>
      <c r="G546" s="1">
        <v>2210</v>
      </c>
      <c r="H546" s="1">
        <f t="shared" si="23"/>
        <v>1773.1092436974791</v>
      </c>
      <c r="I546" s="1">
        <v>2110</v>
      </c>
      <c r="J546" s="18" t="s">
        <v>35</v>
      </c>
      <c r="K546" s="16">
        <v>45482</v>
      </c>
      <c r="L546" s="18">
        <v>8</v>
      </c>
    </row>
    <row r="547" spans="1:12" x14ac:dyDescent="0.2">
      <c r="A547" s="9">
        <v>7791293049526</v>
      </c>
      <c r="B547" s="12" t="s">
        <v>354</v>
      </c>
      <c r="C547" s="13">
        <v>12</v>
      </c>
      <c r="D547" s="14" t="s">
        <v>50</v>
      </c>
      <c r="E547" s="1">
        <f>16639/12</f>
        <v>1386.5833333333333</v>
      </c>
      <c r="F547" s="1">
        <f t="shared" si="22"/>
        <v>1857.1428571428573</v>
      </c>
      <c r="G547" s="1">
        <v>2210</v>
      </c>
      <c r="H547" s="1">
        <f t="shared" si="23"/>
        <v>1773.1092436974791</v>
      </c>
      <c r="I547" s="1">
        <v>2110</v>
      </c>
      <c r="J547" s="18" t="s">
        <v>35</v>
      </c>
      <c r="K547" s="16">
        <v>45482</v>
      </c>
      <c r="L547" s="18">
        <v>4</v>
      </c>
    </row>
    <row r="548" spans="1:12" x14ac:dyDescent="0.2">
      <c r="A548" s="9">
        <v>75028978</v>
      </c>
      <c r="B548" s="12" t="s">
        <v>355</v>
      </c>
      <c r="C548" s="13">
        <v>12</v>
      </c>
      <c r="D548" s="14" t="s">
        <v>50</v>
      </c>
      <c r="E548" s="2">
        <f>1563/1.19</f>
        <v>1313.4453781512605</v>
      </c>
      <c r="F548" s="1">
        <f t="shared" si="22"/>
        <v>1857.1428571428573</v>
      </c>
      <c r="G548" s="1">
        <v>2210</v>
      </c>
      <c r="H548" s="1">
        <f t="shared" si="23"/>
        <v>1773.1092436974791</v>
      </c>
      <c r="I548" s="1">
        <v>2110</v>
      </c>
      <c r="J548" s="18" t="s">
        <v>353</v>
      </c>
      <c r="K548" s="16">
        <v>45406</v>
      </c>
      <c r="L548" s="18">
        <v>1</v>
      </c>
    </row>
    <row r="549" spans="1:12" x14ac:dyDescent="0.2">
      <c r="A549" s="8">
        <v>7802410594383</v>
      </c>
      <c r="B549" s="12" t="s">
        <v>360</v>
      </c>
      <c r="C549" s="13">
        <v>50</v>
      </c>
      <c r="D549" s="14" t="s">
        <v>50</v>
      </c>
      <c r="E549" s="1">
        <f>11240/50</f>
        <v>224.8</v>
      </c>
      <c r="F549" s="1">
        <f t="shared" si="22"/>
        <v>310.92436974789916</v>
      </c>
      <c r="G549" s="1">
        <v>370</v>
      </c>
      <c r="H549" s="1">
        <f t="shared" si="23"/>
        <v>294.11764705882354</v>
      </c>
      <c r="I549" s="1">
        <v>350</v>
      </c>
      <c r="J549" s="15" t="s">
        <v>357</v>
      </c>
      <c r="K549" s="16">
        <v>44902</v>
      </c>
      <c r="L549" s="18">
        <v>10</v>
      </c>
    </row>
    <row r="550" spans="1:12" x14ac:dyDescent="0.2">
      <c r="A550" s="9">
        <v>7802500038049</v>
      </c>
      <c r="B550" s="12" t="s">
        <v>668</v>
      </c>
      <c r="C550" s="13">
        <v>1</v>
      </c>
      <c r="D550" s="14" t="s">
        <v>50</v>
      </c>
      <c r="E550" s="2">
        <v>558</v>
      </c>
      <c r="F550" s="1">
        <f t="shared" si="22"/>
        <v>705.88235294117646</v>
      </c>
      <c r="G550" s="2">
        <v>840</v>
      </c>
      <c r="H550" s="1">
        <f t="shared" si="23"/>
        <v>680.67226890756308</v>
      </c>
      <c r="I550" s="2">
        <v>810</v>
      </c>
      <c r="J550" s="18" t="s">
        <v>30</v>
      </c>
      <c r="K550" s="16">
        <v>45471</v>
      </c>
      <c r="L550" s="18">
        <v>7</v>
      </c>
    </row>
    <row r="551" spans="1:12" x14ac:dyDescent="0.2">
      <c r="A551" s="8">
        <v>7802575353047</v>
      </c>
      <c r="B551" s="12" t="s">
        <v>683</v>
      </c>
      <c r="C551" s="13">
        <v>24</v>
      </c>
      <c r="D551" s="14" t="s">
        <v>50</v>
      </c>
      <c r="E551" s="1">
        <f>7842/24</f>
        <v>326.75</v>
      </c>
      <c r="F551" s="1">
        <f t="shared" si="22"/>
        <v>420.1680672268908</v>
      </c>
      <c r="G551" s="1">
        <v>500</v>
      </c>
      <c r="H551" s="1">
        <f t="shared" si="23"/>
        <v>403.36134453781517</v>
      </c>
      <c r="I551" s="1">
        <v>480</v>
      </c>
      <c r="J551" s="15" t="s">
        <v>677</v>
      </c>
      <c r="K551" s="16">
        <v>45490</v>
      </c>
      <c r="L551" s="18">
        <v>48</v>
      </c>
    </row>
    <row r="552" spans="1:12" x14ac:dyDescent="0.2">
      <c r="A552" s="8">
        <v>7802410001591</v>
      </c>
      <c r="B552" s="12" t="s">
        <v>429</v>
      </c>
      <c r="C552" s="13">
        <v>48</v>
      </c>
      <c r="D552" s="14" t="s">
        <v>50</v>
      </c>
      <c r="E552" s="1">
        <v>357</v>
      </c>
      <c r="F552" s="1">
        <f t="shared" si="22"/>
        <v>462.18487394957987</v>
      </c>
      <c r="G552" s="1">
        <v>550</v>
      </c>
      <c r="H552" s="1">
        <f t="shared" si="23"/>
        <v>420.1680672268908</v>
      </c>
      <c r="I552" s="1">
        <v>500</v>
      </c>
      <c r="J552" s="15" t="s">
        <v>357</v>
      </c>
      <c r="K552" s="16">
        <v>45029</v>
      </c>
      <c r="L552" s="18">
        <v>4</v>
      </c>
    </row>
    <row r="553" spans="1:12" x14ac:dyDescent="0.2">
      <c r="A553" s="8">
        <v>4891228530136</v>
      </c>
      <c r="B553" s="12" t="s">
        <v>419</v>
      </c>
      <c r="C553" s="13">
        <v>10</v>
      </c>
      <c r="D553" s="14" t="s">
        <v>50</v>
      </c>
      <c r="E553" s="1">
        <f>(7500.2/1.19)/10</f>
        <v>630.26890756302521</v>
      </c>
      <c r="F553" s="1">
        <f t="shared" si="22"/>
        <v>840.3361344537816</v>
      </c>
      <c r="G553" s="1">
        <v>1000</v>
      </c>
      <c r="H553" s="1">
        <f t="shared" si="23"/>
        <v>806.72268907563034</v>
      </c>
      <c r="I553" s="1">
        <v>960</v>
      </c>
      <c r="J553" s="18" t="s">
        <v>547</v>
      </c>
      <c r="K553" s="16">
        <v>45492</v>
      </c>
      <c r="L553" s="18">
        <v>42</v>
      </c>
    </row>
    <row r="554" spans="1:12" x14ac:dyDescent="0.2">
      <c r="A554" s="8">
        <v>798190223353</v>
      </c>
      <c r="B554" s="12" t="s">
        <v>522</v>
      </c>
      <c r="C554" s="13">
        <v>24</v>
      </c>
      <c r="D554" s="14" t="s">
        <v>50</v>
      </c>
      <c r="E554" s="1">
        <v>543</v>
      </c>
      <c r="F554" s="1">
        <f t="shared" si="22"/>
        <v>840.3361344537816</v>
      </c>
      <c r="G554" s="1">
        <v>1000</v>
      </c>
      <c r="H554" s="1">
        <f t="shared" si="23"/>
        <v>781.51260504201684</v>
      </c>
      <c r="I554" s="1">
        <v>930</v>
      </c>
      <c r="J554" s="18" t="s">
        <v>30</v>
      </c>
      <c r="K554" s="16">
        <v>45426</v>
      </c>
      <c r="L554" s="18">
        <v>15</v>
      </c>
    </row>
    <row r="555" spans="1:12" x14ac:dyDescent="0.2">
      <c r="A555" s="8">
        <v>742832751988</v>
      </c>
      <c r="B555" s="12" t="s">
        <v>604</v>
      </c>
      <c r="C555" s="13">
        <v>24</v>
      </c>
      <c r="D555" s="14" t="s">
        <v>50</v>
      </c>
      <c r="E555" s="1">
        <v>635</v>
      </c>
      <c r="F555" s="1">
        <f t="shared" si="22"/>
        <v>1008.4033613445379</v>
      </c>
      <c r="G555" s="1">
        <v>1200</v>
      </c>
      <c r="H555" s="1">
        <f t="shared" si="23"/>
        <v>840.3361344537816</v>
      </c>
      <c r="I555" s="1">
        <v>1000</v>
      </c>
      <c r="J555" s="18" t="s">
        <v>30</v>
      </c>
      <c r="K555" s="16">
        <v>45426</v>
      </c>
      <c r="L555" s="18">
        <v>6</v>
      </c>
    </row>
    <row r="556" spans="1:12" x14ac:dyDescent="0.2">
      <c r="A556" s="8">
        <v>798190217178</v>
      </c>
      <c r="B556" s="12" t="s">
        <v>524</v>
      </c>
      <c r="C556" s="13">
        <v>24</v>
      </c>
      <c r="D556" s="14" t="s">
        <v>50</v>
      </c>
      <c r="E556" s="1">
        <v>543</v>
      </c>
      <c r="F556" s="1">
        <f t="shared" si="22"/>
        <v>840.3361344537816</v>
      </c>
      <c r="G556" s="1">
        <v>1000</v>
      </c>
      <c r="H556" s="1">
        <f t="shared" si="23"/>
        <v>781.51260504201684</v>
      </c>
      <c r="I556" s="1">
        <v>930</v>
      </c>
      <c r="J556" s="18" t="s">
        <v>30</v>
      </c>
      <c r="K556" s="16">
        <v>45426</v>
      </c>
      <c r="L556" s="18">
        <v>15</v>
      </c>
    </row>
    <row r="557" spans="1:12" x14ac:dyDescent="0.2">
      <c r="A557" s="8">
        <v>798190243177</v>
      </c>
      <c r="B557" s="12" t="s">
        <v>605</v>
      </c>
      <c r="C557" s="13">
        <v>24</v>
      </c>
      <c r="D557" s="14" t="s">
        <v>50</v>
      </c>
      <c r="E557" s="1">
        <v>635</v>
      </c>
      <c r="F557" s="1">
        <f t="shared" si="22"/>
        <v>1008.4033613445379</v>
      </c>
      <c r="G557" s="1">
        <v>1200</v>
      </c>
      <c r="H557" s="1">
        <f t="shared" si="23"/>
        <v>840.3361344537816</v>
      </c>
      <c r="I557" s="1">
        <v>1000</v>
      </c>
      <c r="J557" s="18" t="s">
        <v>30</v>
      </c>
      <c r="K557" s="16">
        <v>45426</v>
      </c>
      <c r="L557" s="18">
        <v>6</v>
      </c>
    </row>
    <row r="558" spans="1:12" x14ac:dyDescent="0.2">
      <c r="A558" s="9">
        <v>7702006404013</v>
      </c>
      <c r="B558" s="12" t="s">
        <v>619</v>
      </c>
      <c r="C558" s="13">
        <v>12</v>
      </c>
      <c r="D558" s="14" t="s">
        <v>50</v>
      </c>
      <c r="E558" s="2">
        <f>1232/1.19</f>
        <v>1035.2941176470588</v>
      </c>
      <c r="F558" s="1">
        <f t="shared" si="22"/>
        <v>1495.7983193277312</v>
      </c>
      <c r="G558" s="2">
        <v>1780</v>
      </c>
      <c r="H558" s="1">
        <f t="shared" si="23"/>
        <v>1428.5714285714287</v>
      </c>
      <c r="I558" s="2">
        <v>1700</v>
      </c>
      <c r="J558" s="18" t="s">
        <v>353</v>
      </c>
      <c r="K558" s="16">
        <v>45406</v>
      </c>
      <c r="L558" s="18">
        <v>2</v>
      </c>
    </row>
    <row r="559" spans="1:12" x14ac:dyDescent="0.2">
      <c r="A559" s="9">
        <v>7791293046402</v>
      </c>
      <c r="B559" s="12" t="s">
        <v>620</v>
      </c>
      <c r="C559" s="13">
        <v>12</v>
      </c>
      <c r="D559" s="14" t="s">
        <v>50</v>
      </c>
      <c r="E559" s="2">
        <f>1232/1.19</f>
        <v>1035.2941176470588</v>
      </c>
      <c r="F559" s="1">
        <f t="shared" si="22"/>
        <v>1495.7983193277312</v>
      </c>
      <c r="G559" s="2">
        <v>1780</v>
      </c>
      <c r="H559" s="1">
        <f t="shared" si="23"/>
        <v>1428.5714285714287</v>
      </c>
      <c r="I559" s="2">
        <v>1700</v>
      </c>
      <c r="J559" s="18" t="s">
        <v>353</v>
      </c>
      <c r="K559" s="16">
        <v>45406</v>
      </c>
      <c r="L559" s="18">
        <v>5</v>
      </c>
    </row>
    <row r="560" spans="1:12" x14ac:dyDescent="0.2">
      <c r="A560" s="39">
        <v>7804653341335</v>
      </c>
      <c r="B560" s="33" t="s">
        <v>490</v>
      </c>
      <c r="C560" s="34">
        <v>12</v>
      </c>
      <c r="D560" s="35" t="s">
        <v>50</v>
      </c>
      <c r="E560" s="4">
        <f>11092/12</f>
        <v>924.33333333333337</v>
      </c>
      <c r="F560" s="1">
        <f t="shared" si="22"/>
        <v>1092.4369747899161</v>
      </c>
      <c r="G560" s="4">
        <v>1300</v>
      </c>
      <c r="H560" s="1">
        <f t="shared" si="23"/>
        <v>1058.8235294117649</v>
      </c>
      <c r="I560" s="4">
        <v>1260</v>
      </c>
      <c r="J560" s="36" t="s">
        <v>35</v>
      </c>
      <c r="K560" s="37">
        <v>45314</v>
      </c>
      <c r="L560" s="18">
        <v>24</v>
      </c>
    </row>
    <row r="561" spans="1:12" x14ac:dyDescent="0.2">
      <c r="A561" s="8">
        <v>7805020010045</v>
      </c>
      <c r="B561" s="12" t="s">
        <v>728</v>
      </c>
      <c r="C561" s="13">
        <v>12</v>
      </c>
      <c r="D561" s="14" t="s">
        <v>50</v>
      </c>
      <c r="E561" s="2">
        <f>14009/12</f>
        <v>1167.4166666666667</v>
      </c>
      <c r="F561" s="1">
        <f t="shared" si="22"/>
        <v>1705.8823529411766</v>
      </c>
      <c r="G561" s="2">
        <v>2030</v>
      </c>
      <c r="H561" s="1">
        <f t="shared" si="23"/>
        <v>1638.6554621848741</v>
      </c>
      <c r="I561" s="2">
        <v>1950</v>
      </c>
      <c r="J561" s="18" t="s">
        <v>17</v>
      </c>
      <c r="K561" s="16">
        <v>45044</v>
      </c>
      <c r="L561" s="18">
        <v>137</v>
      </c>
    </row>
    <row r="562" spans="1:12" x14ac:dyDescent="0.2">
      <c r="A562" s="9">
        <v>7501006721133</v>
      </c>
      <c r="B562" s="20" t="s">
        <v>579</v>
      </c>
      <c r="C562" s="13">
        <v>12</v>
      </c>
      <c r="D562" s="14" t="s">
        <v>50</v>
      </c>
      <c r="E562" s="2">
        <v>2350</v>
      </c>
      <c r="F562" s="1">
        <f t="shared" si="22"/>
        <v>3058.8235294117649</v>
      </c>
      <c r="G562" s="2">
        <v>3640</v>
      </c>
      <c r="H562" s="1">
        <f t="shared" si="23"/>
        <v>2949.5798319327732</v>
      </c>
      <c r="I562" s="2">
        <v>3510</v>
      </c>
      <c r="J562" s="18" t="s">
        <v>30</v>
      </c>
      <c r="K562" s="16">
        <v>45351</v>
      </c>
      <c r="L562" s="18">
        <v>4</v>
      </c>
    </row>
    <row r="563" spans="1:12" x14ac:dyDescent="0.2">
      <c r="A563" s="8">
        <v>7805020003900</v>
      </c>
      <c r="B563" s="12" t="s">
        <v>6</v>
      </c>
      <c r="C563" s="13">
        <v>1</v>
      </c>
      <c r="D563" s="14" t="s">
        <v>50</v>
      </c>
      <c r="E563" s="2">
        <v>967</v>
      </c>
      <c r="F563" s="1">
        <f t="shared" si="22"/>
        <v>1268.90756302521</v>
      </c>
      <c r="G563" s="2">
        <v>1510</v>
      </c>
      <c r="H563" s="1">
        <f t="shared" si="23"/>
        <v>1218.4873949579833</v>
      </c>
      <c r="I563" s="2">
        <v>1450</v>
      </c>
      <c r="J563" s="18" t="s">
        <v>17</v>
      </c>
      <c r="K563" s="16">
        <v>45351</v>
      </c>
      <c r="L563" s="18">
        <v>36</v>
      </c>
    </row>
    <row r="564" spans="1:12" x14ac:dyDescent="0.2">
      <c r="A564" s="8" t="s">
        <v>75</v>
      </c>
      <c r="B564" s="12" t="s">
        <v>12</v>
      </c>
      <c r="C564" s="13">
        <v>8</v>
      </c>
      <c r="D564" s="14" t="s">
        <v>50</v>
      </c>
      <c r="E564" s="2">
        <f>4404/8</f>
        <v>550.5</v>
      </c>
      <c r="F564" s="1">
        <f t="shared" si="22"/>
        <v>840.3361344537816</v>
      </c>
      <c r="G564" s="2">
        <v>1000</v>
      </c>
      <c r="H564" s="1">
        <f t="shared" si="23"/>
        <v>806.72268907563034</v>
      </c>
      <c r="I564" s="2">
        <v>960</v>
      </c>
      <c r="J564" s="18" t="s">
        <v>22</v>
      </c>
      <c r="K564" s="16">
        <v>44424</v>
      </c>
      <c r="L564" s="18">
        <v>4</v>
      </c>
    </row>
    <row r="565" spans="1:12" x14ac:dyDescent="0.2">
      <c r="A565" s="8">
        <v>7803700612510</v>
      </c>
      <c r="B565" s="12" t="s">
        <v>697</v>
      </c>
      <c r="C565" s="13">
        <v>1</v>
      </c>
      <c r="D565" s="14" t="s">
        <v>50</v>
      </c>
      <c r="E565" s="1">
        <v>627</v>
      </c>
      <c r="F565" s="1">
        <f t="shared" si="22"/>
        <v>663.86554621848745</v>
      </c>
      <c r="G565" s="1">
        <v>790</v>
      </c>
      <c r="H565" s="1">
        <f t="shared" si="23"/>
        <v>647.05882352941182</v>
      </c>
      <c r="I565" s="1">
        <v>770</v>
      </c>
      <c r="J565" s="18" t="s">
        <v>30</v>
      </c>
      <c r="K565" s="16">
        <v>45488</v>
      </c>
      <c r="L565" s="18">
        <v>10</v>
      </c>
    </row>
    <row r="566" spans="1:12" x14ac:dyDescent="0.2">
      <c r="A566" s="8">
        <v>7803700612527</v>
      </c>
      <c r="B566" s="12" t="s">
        <v>492</v>
      </c>
      <c r="C566" s="13">
        <v>1</v>
      </c>
      <c r="D566" s="14" t="s">
        <v>50</v>
      </c>
      <c r="E566" s="2">
        <v>627</v>
      </c>
      <c r="F566" s="1">
        <f t="shared" si="22"/>
        <v>663.86554621848745</v>
      </c>
      <c r="G566" s="1">
        <v>790</v>
      </c>
      <c r="H566" s="1">
        <f t="shared" si="23"/>
        <v>647.05882352941182</v>
      </c>
      <c r="I566" s="1">
        <v>770</v>
      </c>
      <c r="J566" s="18" t="s">
        <v>30</v>
      </c>
      <c r="K566" s="16">
        <v>45488</v>
      </c>
      <c r="L566" s="18">
        <v>6</v>
      </c>
    </row>
    <row r="567" spans="1:12" x14ac:dyDescent="0.2">
      <c r="A567" s="9">
        <v>7802800250851</v>
      </c>
      <c r="B567" s="12" t="s">
        <v>649</v>
      </c>
      <c r="C567" s="13">
        <v>20</v>
      </c>
      <c r="D567" s="14" t="s">
        <v>50</v>
      </c>
      <c r="E567" s="2">
        <f>3282/20</f>
        <v>164.1</v>
      </c>
      <c r="F567" s="1">
        <f t="shared" si="22"/>
        <v>210.0840336134454</v>
      </c>
      <c r="G567" s="2">
        <v>250</v>
      </c>
      <c r="H567" s="1">
        <f t="shared" si="23"/>
        <v>210.0840336134454</v>
      </c>
      <c r="I567" s="2">
        <v>250</v>
      </c>
      <c r="J567" s="18" t="s">
        <v>30</v>
      </c>
      <c r="K567" s="16">
        <v>45471</v>
      </c>
      <c r="L567" s="18">
        <v>6</v>
      </c>
    </row>
    <row r="568" spans="1:12" x14ac:dyDescent="0.2">
      <c r="A568" s="9">
        <v>7802800250868</v>
      </c>
      <c r="B568" s="12" t="s">
        <v>648</v>
      </c>
      <c r="C568" s="13">
        <v>20</v>
      </c>
      <c r="D568" s="14" t="s">
        <v>50</v>
      </c>
      <c r="E568" s="2">
        <f>3282/20</f>
        <v>164.1</v>
      </c>
      <c r="F568" s="1">
        <f t="shared" si="22"/>
        <v>210.0840336134454</v>
      </c>
      <c r="G568" s="2">
        <v>250</v>
      </c>
      <c r="H568" s="1">
        <f t="shared" si="23"/>
        <v>210.0840336134454</v>
      </c>
      <c r="I568" s="2">
        <v>250</v>
      </c>
      <c r="J568" s="18" t="s">
        <v>30</v>
      </c>
      <c r="K568" s="16">
        <v>45471</v>
      </c>
      <c r="L568" s="18">
        <v>6</v>
      </c>
    </row>
    <row r="569" spans="1:12" x14ac:dyDescent="0.2">
      <c r="A569" s="8" t="s">
        <v>11</v>
      </c>
      <c r="B569" s="12" t="s">
        <v>136</v>
      </c>
      <c r="C569" s="13">
        <v>1</v>
      </c>
      <c r="D569" s="14" t="s">
        <v>50</v>
      </c>
      <c r="E569" s="2">
        <f>870/1.19</f>
        <v>731.09243697478996</v>
      </c>
      <c r="F569" s="1">
        <f t="shared" si="22"/>
        <v>1050.420168067227</v>
      </c>
      <c r="G569" s="2">
        <v>1250</v>
      </c>
      <c r="H569" s="1">
        <f t="shared" si="23"/>
        <v>1008.4033613445379</v>
      </c>
      <c r="I569" s="2">
        <v>1200</v>
      </c>
      <c r="J569" s="18" t="s">
        <v>19</v>
      </c>
      <c r="K569" s="16">
        <v>45124</v>
      </c>
      <c r="L569" s="18">
        <v>39</v>
      </c>
    </row>
    <row r="570" spans="1:12" x14ac:dyDescent="0.2">
      <c r="A570" s="8">
        <v>7804612131861</v>
      </c>
      <c r="B570" s="12" t="s">
        <v>613</v>
      </c>
      <c r="C570" s="13">
        <v>10</v>
      </c>
      <c r="D570" s="14" t="s">
        <v>50</v>
      </c>
      <c r="E570" s="21">
        <v>1924</v>
      </c>
      <c r="F570" s="1">
        <f t="shared" si="22"/>
        <v>2756.3025210084033</v>
      </c>
      <c r="G570" s="21">
        <v>3280</v>
      </c>
      <c r="H570" s="1">
        <f t="shared" si="23"/>
        <v>2672.2689075630256</v>
      </c>
      <c r="I570" s="21">
        <v>3180</v>
      </c>
      <c r="J570" s="18" t="s">
        <v>547</v>
      </c>
      <c r="K570" s="16">
        <v>45400</v>
      </c>
      <c r="L570" s="18">
        <v>8</v>
      </c>
    </row>
    <row r="571" spans="1:12" x14ac:dyDescent="0.2">
      <c r="A571" s="8">
        <v>7804673770061</v>
      </c>
      <c r="B571" s="12" t="s">
        <v>109</v>
      </c>
      <c r="C571" s="13">
        <v>1</v>
      </c>
      <c r="D571" s="14" t="s">
        <v>50</v>
      </c>
      <c r="E571" s="1">
        <v>740</v>
      </c>
      <c r="F571" s="1">
        <f t="shared" si="22"/>
        <v>924.36974789915973</v>
      </c>
      <c r="G571" s="1">
        <v>1100</v>
      </c>
      <c r="H571" s="1">
        <f t="shared" si="23"/>
        <v>840.3361344537816</v>
      </c>
      <c r="I571" s="1">
        <v>1000</v>
      </c>
      <c r="J571" s="18" t="s">
        <v>40</v>
      </c>
      <c r="K571" s="16">
        <v>44672</v>
      </c>
      <c r="L571" s="18">
        <v>456</v>
      </c>
    </row>
    <row r="572" spans="1:12" x14ac:dyDescent="0.2">
      <c r="A572" s="8">
        <v>7804673770092</v>
      </c>
      <c r="B572" s="12" t="s">
        <v>298</v>
      </c>
      <c r="C572" s="13">
        <v>6</v>
      </c>
      <c r="D572" s="14" t="s">
        <v>50</v>
      </c>
      <c r="E572" s="1">
        <v>2750</v>
      </c>
      <c r="F572" s="1">
        <f t="shared" si="22"/>
        <v>3361.3445378151264</v>
      </c>
      <c r="G572" s="1">
        <v>4000</v>
      </c>
      <c r="H572" s="1">
        <f t="shared" si="23"/>
        <v>3277.3109243697481</v>
      </c>
      <c r="I572" s="1">
        <v>3900</v>
      </c>
      <c r="J572" s="18" t="s">
        <v>40</v>
      </c>
      <c r="K572" s="16">
        <v>44672</v>
      </c>
      <c r="L572" s="18">
        <v>67</v>
      </c>
    </row>
    <row r="573" spans="1:12" x14ac:dyDescent="0.2">
      <c r="A573" s="8">
        <v>7804673770030</v>
      </c>
      <c r="B573" s="12" t="s">
        <v>299</v>
      </c>
      <c r="C573" s="13">
        <v>6</v>
      </c>
      <c r="D573" s="14" t="s">
        <v>50</v>
      </c>
      <c r="E573" s="1">
        <v>2941.04</v>
      </c>
      <c r="F573" s="1">
        <f t="shared" si="22"/>
        <v>3361.3445378151264</v>
      </c>
      <c r="G573" s="1">
        <v>4000</v>
      </c>
      <c r="H573" s="1">
        <f t="shared" si="23"/>
        <v>3277.3109243697481</v>
      </c>
      <c r="I573" s="1">
        <v>3900</v>
      </c>
      <c r="J573" s="18" t="s">
        <v>40</v>
      </c>
      <c r="K573" s="16">
        <v>44672</v>
      </c>
      <c r="L573" s="18">
        <v>88</v>
      </c>
    </row>
    <row r="574" spans="1:12" x14ac:dyDescent="0.2">
      <c r="A574" s="8">
        <v>7891150000971</v>
      </c>
      <c r="B574" s="12" t="s">
        <v>621</v>
      </c>
      <c r="C574" s="13">
        <v>12</v>
      </c>
      <c r="D574" s="14" t="s">
        <v>50</v>
      </c>
      <c r="E574" s="2">
        <f>1690/1.19</f>
        <v>1420.1680672268908</v>
      </c>
      <c r="F574" s="1">
        <f t="shared" si="22"/>
        <v>2042.0168067226891</v>
      </c>
      <c r="G574" s="2">
        <v>2430</v>
      </c>
      <c r="H574" s="1">
        <f t="shared" si="23"/>
        <v>1957.9831932773111</v>
      </c>
      <c r="I574" s="2">
        <v>2330</v>
      </c>
      <c r="J574" s="18" t="s">
        <v>353</v>
      </c>
      <c r="K574" s="16">
        <v>45407</v>
      </c>
      <c r="L574" s="18">
        <v>15</v>
      </c>
    </row>
    <row r="575" spans="1:12" x14ac:dyDescent="0.2">
      <c r="A575" s="8">
        <v>7891150039001</v>
      </c>
      <c r="B575" s="12" t="s">
        <v>622</v>
      </c>
      <c r="C575" s="13">
        <v>12</v>
      </c>
      <c r="D575" s="14" t="s">
        <v>50</v>
      </c>
      <c r="E575" s="2">
        <f>1690/1.19</f>
        <v>1420.1680672268908</v>
      </c>
      <c r="F575" s="1">
        <f t="shared" si="22"/>
        <v>2042.0168067226891</v>
      </c>
      <c r="G575" s="2">
        <v>2430</v>
      </c>
      <c r="H575" s="1">
        <f t="shared" si="23"/>
        <v>1957.9831932773111</v>
      </c>
      <c r="I575" s="2">
        <v>2330</v>
      </c>
      <c r="J575" s="18" t="s">
        <v>353</v>
      </c>
      <c r="K575" s="16">
        <v>45407</v>
      </c>
      <c r="L575" s="18">
        <v>12</v>
      </c>
    </row>
    <row r="576" spans="1:12" x14ac:dyDescent="0.2">
      <c r="A576" s="22">
        <v>7702166051270</v>
      </c>
      <c r="B576" s="12" t="s">
        <v>484</v>
      </c>
      <c r="C576" s="13">
        <v>12</v>
      </c>
      <c r="D576" s="14" t="s">
        <v>50</v>
      </c>
      <c r="E576" s="2">
        <f>17172/12</f>
        <v>1431</v>
      </c>
      <c r="F576" s="1">
        <f t="shared" si="22"/>
        <v>1596.6386554621849</v>
      </c>
      <c r="G576" s="2">
        <v>1900</v>
      </c>
      <c r="H576" s="1">
        <f t="shared" si="23"/>
        <v>1512.6050420168067</v>
      </c>
      <c r="I576" s="2">
        <v>1800</v>
      </c>
      <c r="J576" s="18" t="s">
        <v>15</v>
      </c>
      <c r="K576" s="16">
        <v>45111</v>
      </c>
      <c r="L576" s="18">
        <v>5</v>
      </c>
    </row>
    <row r="577" spans="1:12" x14ac:dyDescent="0.2">
      <c r="A577" s="8">
        <v>7702166051188</v>
      </c>
      <c r="B577" s="12" t="s">
        <v>486</v>
      </c>
      <c r="C577" s="13">
        <v>4</v>
      </c>
      <c r="D577" s="14" t="s">
        <v>50</v>
      </c>
      <c r="E577" s="1">
        <f>19456/4</f>
        <v>4864</v>
      </c>
      <c r="F577" s="1">
        <f t="shared" si="22"/>
        <v>5873.9495798319331</v>
      </c>
      <c r="G577" s="1">
        <v>6990</v>
      </c>
      <c r="H577" s="1">
        <f t="shared" si="23"/>
        <v>5714.2857142857147</v>
      </c>
      <c r="I577" s="1">
        <v>6800</v>
      </c>
      <c r="J577" s="18" t="s">
        <v>15</v>
      </c>
      <c r="K577" s="16">
        <v>45111</v>
      </c>
      <c r="L577" s="18">
        <v>18</v>
      </c>
    </row>
    <row r="578" spans="1:12" x14ac:dyDescent="0.2">
      <c r="A578" s="8">
        <v>7702166051225</v>
      </c>
      <c r="B578" s="12" t="s">
        <v>485</v>
      </c>
      <c r="C578" s="13">
        <v>6</v>
      </c>
      <c r="D578" s="14" t="s">
        <v>50</v>
      </c>
      <c r="E578" s="1">
        <f>15114/6</f>
        <v>2519</v>
      </c>
      <c r="F578" s="1">
        <f t="shared" si="22"/>
        <v>2941.1764705882356</v>
      </c>
      <c r="G578" s="1">
        <v>3500</v>
      </c>
      <c r="H578" s="1">
        <f t="shared" si="23"/>
        <v>2857.1428571428573</v>
      </c>
      <c r="I578" s="1">
        <v>3400</v>
      </c>
      <c r="J578" s="18" t="s">
        <v>15</v>
      </c>
      <c r="K578" s="16">
        <v>45111</v>
      </c>
      <c r="L578" s="18">
        <v>12</v>
      </c>
    </row>
    <row r="579" spans="1:12" x14ac:dyDescent="0.2">
      <c r="A579" s="9">
        <v>7500435156981</v>
      </c>
      <c r="B579" s="19" t="s">
        <v>578</v>
      </c>
      <c r="C579" s="13">
        <v>12</v>
      </c>
      <c r="D579" s="14" t="s">
        <v>50</v>
      </c>
      <c r="E579" s="2">
        <f>21076/12</f>
        <v>1756.3333333333333</v>
      </c>
      <c r="F579" s="1">
        <f t="shared" ref="F579:F642" si="24">G579/1.19</f>
        <v>2352.9411764705883</v>
      </c>
      <c r="G579" s="2">
        <v>2800</v>
      </c>
      <c r="H579" s="1">
        <f t="shared" ref="H579:H642" si="25">I579/1.19</f>
        <v>2260.5042016806724</v>
      </c>
      <c r="I579" s="2">
        <v>2690</v>
      </c>
      <c r="J579" s="18" t="s">
        <v>458</v>
      </c>
      <c r="K579" s="16">
        <v>45353</v>
      </c>
      <c r="L579" s="18">
        <v>12</v>
      </c>
    </row>
    <row r="580" spans="1:12" x14ac:dyDescent="0.2">
      <c r="A580" s="22">
        <v>7804920283207</v>
      </c>
      <c r="B580" s="12" t="s">
        <v>747</v>
      </c>
      <c r="C580" s="13">
        <v>6</v>
      </c>
      <c r="D580" s="14" t="s">
        <v>50</v>
      </c>
      <c r="E580" s="2">
        <v>1200</v>
      </c>
      <c r="F580" s="1">
        <f t="shared" si="24"/>
        <v>1957.9831932773111</v>
      </c>
      <c r="G580" s="2">
        <v>2330</v>
      </c>
      <c r="H580" s="1">
        <f t="shared" si="25"/>
        <v>1823.5294117647059</v>
      </c>
      <c r="I580" s="2">
        <v>2170</v>
      </c>
      <c r="J580" s="18" t="s">
        <v>474</v>
      </c>
      <c r="K580" s="16">
        <v>45455</v>
      </c>
      <c r="L580" s="18">
        <v>12</v>
      </c>
    </row>
    <row r="581" spans="1:12" x14ac:dyDescent="0.2">
      <c r="A581" s="22">
        <v>7804920283214</v>
      </c>
      <c r="B581" s="12" t="s">
        <v>746</v>
      </c>
      <c r="C581" s="13">
        <v>6</v>
      </c>
      <c r="D581" s="14" t="s">
        <v>50</v>
      </c>
      <c r="E581" s="2">
        <v>1200</v>
      </c>
      <c r="F581" s="1">
        <f t="shared" si="24"/>
        <v>1957.9831932773111</v>
      </c>
      <c r="G581" s="2">
        <v>2330</v>
      </c>
      <c r="H581" s="1">
        <f t="shared" si="25"/>
        <v>1823.5294117647059</v>
      </c>
      <c r="I581" s="2">
        <v>2170</v>
      </c>
      <c r="J581" s="18" t="s">
        <v>474</v>
      </c>
      <c r="K581" s="16">
        <v>45455</v>
      </c>
      <c r="L581" s="18">
        <v>15</v>
      </c>
    </row>
    <row r="582" spans="1:12" x14ac:dyDescent="0.2">
      <c r="A582" s="22">
        <v>7804920006677</v>
      </c>
      <c r="B582" s="12" t="s">
        <v>742</v>
      </c>
      <c r="C582" s="13">
        <v>8</v>
      </c>
      <c r="D582" s="14" t="s">
        <v>50</v>
      </c>
      <c r="E582" s="2">
        <v>1100</v>
      </c>
      <c r="F582" s="1">
        <f t="shared" si="24"/>
        <v>1638.6554621848741</v>
      </c>
      <c r="G582" s="2">
        <v>1950</v>
      </c>
      <c r="H582" s="1">
        <f t="shared" si="25"/>
        <v>1512.6050420168067</v>
      </c>
      <c r="I582" s="2">
        <v>1800</v>
      </c>
      <c r="J582" s="18" t="s">
        <v>474</v>
      </c>
      <c r="K582" s="16">
        <v>45455</v>
      </c>
      <c r="L582" s="18">
        <v>23</v>
      </c>
    </row>
    <row r="583" spans="1:12" x14ac:dyDescent="0.2">
      <c r="A583" s="8">
        <v>7804920008244</v>
      </c>
      <c r="B583" s="15" t="s">
        <v>653</v>
      </c>
      <c r="C583" s="8">
        <v>12</v>
      </c>
      <c r="D583" s="14" t="s">
        <v>50</v>
      </c>
      <c r="E583" s="1">
        <v>500</v>
      </c>
      <c r="F583" s="1">
        <f t="shared" si="24"/>
        <v>773.10924369747897</v>
      </c>
      <c r="G583" s="1">
        <v>920</v>
      </c>
      <c r="H583" s="1">
        <f t="shared" si="25"/>
        <v>714.28571428571433</v>
      </c>
      <c r="I583" s="1">
        <v>850</v>
      </c>
      <c r="J583" s="18" t="s">
        <v>474</v>
      </c>
      <c r="K583" s="16">
        <v>45455</v>
      </c>
      <c r="L583" s="18">
        <v>43</v>
      </c>
    </row>
    <row r="584" spans="1:12" x14ac:dyDescent="0.2">
      <c r="A584" s="8">
        <v>7804920006721</v>
      </c>
      <c r="B584" s="15" t="s">
        <v>655</v>
      </c>
      <c r="C584" s="8">
        <v>12</v>
      </c>
      <c r="D584" s="14" t="s">
        <v>50</v>
      </c>
      <c r="E584" s="1">
        <v>500</v>
      </c>
      <c r="F584" s="1">
        <f t="shared" si="24"/>
        <v>773.10924369747897</v>
      </c>
      <c r="G584" s="1">
        <v>920</v>
      </c>
      <c r="H584" s="1">
        <f t="shared" si="25"/>
        <v>714.28571428571433</v>
      </c>
      <c r="I584" s="1">
        <v>850</v>
      </c>
      <c r="J584" s="18" t="s">
        <v>474</v>
      </c>
      <c r="K584" s="16">
        <v>45455</v>
      </c>
      <c r="L584" s="18">
        <v>39</v>
      </c>
    </row>
    <row r="585" spans="1:12" x14ac:dyDescent="0.2">
      <c r="A585" s="8">
        <v>7804920008008</v>
      </c>
      <c r="B585" s="12" t="s">
        <v>384</v>
      </c>
      <c r="C585" s="13">
        <v>10</v>
      </c>
      <c r="D585" s="14" t="s">
        <v>50</v>
      </c>
      <c r="E585" s="1">
        <v>600</v>
      </c>
      <c r="F585" s="1">
        <f t="shared" si="24"/>
        <v>974.78991596638662</v>
      </c>
      <c r="G585" s="1">
        <v>1160</v>
      </c>
      <c r="H585" s="1">
        <f t="shared" si="25"/>
        <v>907.56302521008411</v>
      </c>
      <c r="I585" s="1">
        <v>1080</v>
      </c>
      <c r="J585" s="18" t="s">
        <v>474</v>
      </c>
      <c r="K585" s="16">
        <v>45455</v>
      </c>
      <c r="L585" s="18">
        <v>80</v>
      </c>
    </row>
    <row r="586" spans="1:12" x14ac:dyDescent="0.2">
      <c r="A586" s="8">
        <v>7804920008350</v>
      </c>
      <c r="B586" s="15" t="s">
        <v>654</v>
      </c>
      <c r="C586" s="8">
        <v>12</v>
      </c>
      <c r="D586" s="14" t="s">
        <v>50</v>
      </c>
      <c r="E586" s="1">
        <v>500</v>
      </c>
      <c r="F586" s="1">
        <f t="shared" si="24"/>
        <v>773.10924369747897</v>
      </c>
      <c r="G586" s="1">
        <v>920</v>
      </c>
      <c r="H586" s="1">
        <f t="shared" si="25"/>
        <v>714.28571428571433</v>
      </c>
      <c r="I586" s="1">
        <v>850</v>
      </c>
      <c r="J586" s="18" t="s">
        <v>474</v>
      </c>
      <c r="K586" s="16">
        <v>45455</v>
      </c>
      <c r="L586" s="18">
        <v>39</v>
      </c>
    </row>
    <row r="587" spans="1:12" x14ac:dyDescent="0.2">
      <c r="A587" s="8">
        <v>7804920008237</v>
      </c>
      <c r="B587" s="15" t="s">
        <v>385</v>
      </c>
      <c r="C587" s="8">
        <v>12</v>
      </c>
      <c r="D587" s="14" t="s">
        <v>50</v>
      </c>
      <c r="E587" s="1">
        <v>500</v>
      </c>
      <c r="F587" s="1">
        <f t="shared" si="24"/>
        <v>773.10924369747897</v>
      </c>
      <c r="G587" s="1">
        <v>920</v>
      </c>
      <c r="H587" s="1">
        <f t="shared" si="25"/>
        <v>714.28571428571433</v>
      </c>
      <c r="I587" s="1">
        <v>850</v>
      </c>
      <c r="J587" s="18" t="s">
        <v>474</v>
      </c>
      <c r="K587" s="16">
        <v>45455</v>
      </c>
      <c r="L587" s="18">
        <v>104</v>
      </c>
    </row>
    <row r="588" spans="1:12" x14ac:dyDescent="0.2">
      <c r="A588" s="8">
        <v>7804920008381</v>
      </c>
      <c r="B588" s="15" t="s">
        <v>656</v>
      </c>
      <c r="C588" s="8">
        <v>12</v>
      </c>
      <c r="D588" s="14" t="s">
        <v>50</v>
      </c>
      <c r="E588" s="1">
        <v>500</v>
      </c>
      <c r="F588" s="1">
        <f t="shared" si="24"/>
        <v>773.10924369747897</v>
      </c>
      <c r="G588" s="1">
        <v>920</v>
      </c>
      <c r="H588" s="1">
        <f t="shared" si="25"/>
        <v>714.28571428571433</v>
      </c>
      <c r="I588" s="1">
        <v>850</v>
      </c>
      <c r="J588" s="18" t="s">
        <v>474</v>
      </c>
      <c r="K588" s="16">
        <v>45455</v>
      </c>
      <c r="L588" s="18">
        <v>93</v>
      </c>
    </row>
    <row r="589" spans="1:12" x14ac:dyDescent="0.2">
      <c r="A589" s="8">
        <v>7804920006714</v>
      </c>
      <c r="B589" s="15" t="s">
        <v>386</v>
      </c>
      <c r="C589" s="8">
        <v>12</v>
      </c>
      <c r="D589" s="14" t="s">
        <v>50</v>
      </c>
      <c r="E589" s="1">
        <v>500</v>
      </c>
      <c r="F589" s="1">
        <f t="shared" si="24"/>
        <v>773.10924369747897</v>
      </c>
      <c r="G589" s="1">
        <v>920</v>
      </c>
      <c r="H589" s="1">
        <f t="shared" si="25"/>
        <v>714.28571428571433</v>
      </c>
      <c r="I589" s="1">
        <v>850</v>
      </c>
      <c r="J589" s="18" t="s">
        <v>474</v>
      </c>
      <c r="K589" s="16">
        <v>45455</v>
      </c>
      <c r="L589" s="18">
        <v>93</v>
      </c>
    </row>
    <row r="590" spans="1:12" x14ac:dyDescent="0.2">
      <c r="A590" s="9">
        <v>7791274187742</v>
      </c>
      <c r="B590" s="12" t="s">
        <v>662</v>
      </c>
      <c r="C590" s="13">
        <v>24</v>
      </c>
      <c r="D590" s="14" t="s">
        <v>50</v>
      </c>
      <c r="E590" s="2">
        <f>1071/1.19</f>
        <v>900</v>
      </c>
      <c r="F590" s="1">
        <f t="shared" si="24"/>
        <v>1210.0840336134454</v>
      </c>
      <c r="G590" s="2">
        <v>1440</v>
      </c>
      <c r="H590" s="1">
        <f t="shared" si="25"/>
        <v>1159.6638655462186</v>
      </c>
      <c r="I590" s="2">
        <v>1380</v>
      </c>
      <c r="J590" s="18" t="s">
        <v>547</v>
      </c>
      <c r="K590" s="16">
        <v>45455</v>
      </c>
      <c r="L590" s="18">
        <v>12</v>
      </c>
    </row>
    <row r="591" spans="1:12" x14ac:dyDescent="0.2">
      <c r="A591" s="9">
        <v>7791274004377</v>
      </c>
      <c r="B591" s="12" t="s">
        <v>661</v>
      </c>
      <c r="C591" s="13">
        <v>24</v>
      </c>
      <c r="D591" s="14" t="s">
        <v>50</v>
      </c>
      <c r="E591" s="2">
        <f>1071/1.19</f>
        <v>900</v>
      </c>
      <c r="F591" s="1">
        <f t="shared" si="24"/>
        <v>1210.0840336134454</v>
      </c>
      <c r="G591" s="2">
        <v>1440</v>
      </c>
      <c r="H591" s="1">
        <f t="shared" si="25"/>
        <v>1159.6638655462186</v>
      </c>
      <c r="I591" s="2">
        <v>1380</v>
      </c>
      <c r="J591" s="18" t="s">
        <v>547</v>
      </c>
      <c r="K591" s="16">
        <v>45455</v>
      </c>
      <c r="L591" s="18">
        <v>12</v>
      </c>
    </row>
    <row r="592" spans="1:12" x14ac:dyDescent="0.2">
      <c r="A592" s="9">
        <v>7802500008103</v>
      </c>
      <c r="B592" s="12" t="s">
        <v>667</v>
      </c>
      <c r="C592" s="13">
        <v>1</v>
      </c>
      <c r="D592" s="14" t="s">
        <v>50</v>
      </c>
      <c r="E592" s="2">
        <v>1497</v>
      </c>
      <c r="F592" s="1">
        <f t="shared" si="24"/>
        <v>1882.3529411764707</v>
      </c>
      <c r="G592" s="2">
        <v>2240</v>
      </c>
      <c r="H592" s="1">
        <f t="shared" si="25"/>
        <v>1815.1260504201682</v>
      </c>
      <c r="I592" s="2">
        <v>2160</v>
      </c>
      <c r="J592" s="18" t="s">
        <v>30</v>
      </c>
      <c r="K592" s="16">
        <v>45471</v>
      </c>
      <c r="L592" s="18">
        <v>5</v>
      </c>
    </row>
    <row r="593" spans="1:12" x14ac:dyDescent="0.2">
      <c r="A593" s="9">
        <v>7802500007021</v>
      </c>
      <c r="B593" s="12" t="s">
        <v>509</v>
      </c>
      <c r="C593" s="13">
        <v>30</v>
      </c>
      <c r="D593" s="14" t="s">
        <v>50</v>
      </c>
      <c r="E593" s="2">
        <v>1015</v>
      </c>
      <c r="F593" s="1">
        <f t="shared" si="24"/>
        <v>1134.453781512605</v>
      </c>
      <c r="G593" s="2">
        <v>1350</v>
      </c>
      <c r="H593" s="1">
        <f t="shared" si="25"/>
        <v>1100.8403361344538</v>
      </c>
      <c r="I593" s="2">
        <v>1310</v>
      </c>
      <c r="J593" s="18" t="s">
        <v>30</v>
      </c>
      <c r="K593" s="16">
        <v>45428</v>
      </c>
      <c r="L593" s="18">
        <v>5</v>
      </c>
    </row>
    <row r="594" spans="1:12" x14ac:dyDescent="0.2">
      <c r="A594" s="9">
        <v>7802500008042</v>
      </c>
      <c r="B594" s="12" t="s">
        <v>510</v>
      </c>
      <c r="C594" s="13">
        <v>30</v>
      </c>
      <c r="D594" s="14" t="s">
        <v>50</v>
      </c>
      <c r="E594" s="2">
        <v>1015</v>
      </c>
      <c r="F594" s="1">
        <f t="shared" si="24"/>
        <v>1134.453781512605</v>
      </c>
      <c r="G594" s="2">
        <v>1350</v>
      </c>
      <c r="H594" s="1">
        <f t="shared" si="25"/>
        <v>1100.8403361344538</v>
      </c>
      <c r="I594" s="2">
        <v>1310</v>
      </c>
      <c r="J594" s="18" t="s">
        <v>30</v>
      </c>
      <c r="K594" s="16">
        <v>45428</v>
      </c>
      <c r="L594" s="18">
        <v>5</v>
      </c>
    </row>
    <row r="595" spans="1:12" x14ac:dyDescent="0.2">
      <c r="A595" s="9">
        <v>7441008154594</v>
      </c>
      <c r="B595" s="12" t="s">
        <v>300</v>
      </c>
      <c r="C595" s="13">
        <v>16</v>
      </c>
      <c r="D595" s="14" t="s">
        <v>50</v>
      </c>
      <c r="E595" s="2">
        <f>25412/16</f>
        <v>1588.25</v>
      </c>
      <c r="F595" s="1">
        <f t="shared" si="24"/>
        <v>2075.6302521008406</v>
      </c>
      <c r="G595" s="2">
        <v>2470</v>
      </c>
      <c r="H595" s="1">
        <f t="shared" si="25"/>
        <v>1991.5966386554624</v>
      </c>
      <c r="I595" s="2">
        <v>2370</v>
      </c>
      <c r="J595" s="18" t="s">
        <v>35</v>
      </c>
      <c r="K595" s="16">
        <v>44777</v>
      </c>
      <c r="L595" s="18">
        <v>487</v>
      </c>
    </row>
    <row r="596" spans="1:12" x14ac:dyDescent="0.2">
      <c r="A596" s="9">
        <v>7441008154617</v>
      </c>
      <c r="B596" s="12" t="s">
        <v>301</v>
      </c>
      <c r="C596" s="13">
        <v>16</v>
      </c>
      <c r="D596" s="14" t="s">
        <v>50</v>
      </c>
      <c r="E596" s="2">
        <f>25412/16</f>
        <v>1588.25</v>
      </c>
      <c r="F596" s="1">
        <f t="shared" si="24"/>
        <v>2075.6302521008406</v>
      </c>
      <c r="G596" s="2">
        <v>2470</v>
      </c>
      <c r="H596" s="1">
        <f t="shared" si="25"/>
        <v>1991.5966386554624</v>
      </c>
      <c r="I596" s="2">
        <v>2370</v>
      </c>
      <c r="J596" s="18" t="s">
        <v>35</v>
      </c>
      <c r="K596" s="16">
        <v>44777</v>
      </c>
      <c r="L596" s="18">
        <v>120</v>
      </c>
    </row>
    <row r="597" spans="1:12" x14ac:dyDescent="0.2">
      <c r="A597" s="9">
        <v>7806500966012</v>
      </c>
      <c r="B597" s="12" t="s">
        <v>302</v>
      </c>
      <c r="C597" s="13">
        <v>12</v>
      </c>
      <c r="D597" s="14" t="s">
        <v>50</v>
      </c>
      <c r="E597" s="2">
        <f>18050/12</f>
        <v>1504.1666666666667</v>
      </c>
      <c r="F597" s="1">
        <f t="shared" si="24"/>
        <v>1966.3865546218487</v>
      </c>
      <c r="G597" s="2">
        <v>2340</v>
      </c>
      <c r="H597" s="1">
        <f t="shared" si="25"/>
        <v>2142.8571428571431</v>
      </c>
      <c r="I597" s="2">
        <v>2550</v>
      </c>
      <c r="J597" s="18" t="s">
        <v>35</v>
      </c>
      <c r="K597" s="16">
        <v>44777</v>
      </c>
      <c r="L597" s="18">
        <v>9</v>
      </c>
    </row>
    <row r="598" spans="1:12" x14ac:dyDescent="0.2">
      <c r="A598" s="9">
        <v>7806500966029</v>
      </c>
      <c r="B598" s="12" t="s">
        <v>303</v>
      </c>
      <c r="C598" s="13">
        <v>12</v>
      </c>
      <c r="D598" s="14" t="s">
        <v>50</v>
      </c>
      <c r="E598" s="2">
        <f>18050/12</f>
        <v>1504.1666666666667</v>
      </c>
      <c r="F598" s="1">
        <f t="shared" si="24"/>
        <v>1966.3865546218487</v>
      </c>
      <c r="G598" s="2">
        <v>2340</v>
      </c>
      <c r="H598" s="1">
        <f t="shared" si="25"/>
        <v>2142.8571428571431</v>
      </c>
      <c r="I598" s="2">
        <v>2550</v>
      </c>
      <c r="J598" s="18" t="s">
        <v>35</v>
      </c>
      <c r="K598" s="16">
        <v>44828</v>
      </c>
      <c r="L598" s="18">
        <v>66</v>
      </c>
    </row>
    <row r="599" spans="1:12" x14ac:dyDescent="0.2">
      <c r="A599" s="9">
        <v>7806500966036</v>
      </c>
      <c r="B599" s="12" t="s">
        <v>304</v>
      </c>
      <c r="C599" s="13">
        <v>12</v>
      </c>
      <c r="D599" s="14" t="s">
        <v>50</v>
      </c>
      <c r="E599" s="2">
        <f>18050/12</f>
        <v>1504.1666666666667</v>
      </c>
      <c r="F599" s="1">
        <f t="shared" si="24"/>
        <v>1966.3865546218487</v>
      </c>
      <c r="G599" s="2">
        <v>2340</v>
      </c>
      <c r="H599" s="1">
        <f t="shared" si="25"/>
        <v>2142.8571428571431</v>
      </c>
      <c r="I599" s="2">
        <v>2550</v>
      </c>
      <c r="J599" s="18" t="s">
        <v>35</v>
      </c>
      <c r="K599" s="16">
        <v>44828</v>
      </c>
      <c r="L599" s="18">
        <v>112</v>
      </c>
    </row>
    <row r="600" spans="1:12" x14ac:dyDescent="0.2">
      <c r="A600" s="38">
        <v>7800004399536</v>
      </c>
      <c r="B600" s="12" t="s">
        <v>305</v>
      </c>
      <c r="C600" s="13">
        <v>60</v>
      </c>
      <c r="D600" s="14" t="s">
        <v>50</v>
      </c>
      <c r="E600" s="1">
        <f>20000/60</f>
        <v>333.33333333333331</v>
      </c>
      <c r="F600" s="1">
        <f t="shared" si="24"/>
        <v>420.1680672268908</v>
      </c>
      <c r="G600" s="1">
        <v>500</v>
      </c>
      <c r="H600" s="1">
        <f t="shared" si="25"/>
        <v>403.36134453781517</v>
      </c>
      <c r="I600" s="1">
        <v>480</v>
      </c>
      <c r="J600" s="18" t="s">
        <v>114</v>
      </c>
      <c r="K600" s="16">
        <v>44769</v>
      </c>
      <c r="L600" s="18">
        <v>240</v>
      </c>
    </row>
    <row r="601" spans="1:12" x14ac:dyDescent="0.2">
      <c r="A601" s="38">
        <v>7800004399567</v>
      </c>
      <c r="B601" s="12" t="s">
        <v>306</v>
      </c>
      <c r="C601" s="13">
        <v>60</v>
      </c>
      <c r="D601" s="14" t="s">
        <v>50</v>
      </c>
      <c r="E601" s="1">
        <f>20000/60</f>
        <v>333.33333333333331</v>
      </c>
      <c r="F601" s="1">
        <f t="shared" si="24"/>
        <v>420.1680672268908</v>
      </c>
      <c r="G601" s="1">
        <v>500</v>
      </c>
      <c r="H601" s="1">
        <f t="shared" si="25"/>
        <v>403.36134453781517</v>
      </c>
      <c r="I601" s="1">
        <v>480</v>
      </c>
      <c r="J601" s="18" t="s">
        <v>114</v>
      </c>
      <c r="K601" s="16">
        <v>44769</v>
      </c>
      <c r="L601" s="18">
        <v>240</v>
      </c>
    </row>
    <row r="602" spans="1:12" x14ac:dyDescent="0.2">
      <c r="A602" s="9">
        <v>7805000306533</v>
      </c>
      <c r="B602" s="12" t="s">
        <v>307</v>
      </c>
      <c r="C602" s="13">
        <v>25</v>
      </c>
      <c r="D602" s="14" t="s">
        <v>50</v>
      </c>
      <c r="E602" s="2">
        <v>402</v>
      </c>
      <c r="F602" s="1">
        <f t="shared" si="24"/>
        <v>504.20168067226894</v>
      </c>
      <c r="G602" s="2">
        <v>600</v>
      </c>
      <c r="H602" s="1">
        <f t="shared" si="25"/>
        <v>529.41176470588243</v>
      </c>
      <c r="I602" s="2">
        <v>630</v>
      </c>
      <c r="J602" s="18" t="s">
        <v>24</v>
      </c>
      <c r="K602" s="16">
        <v>44620</v>
      </c>
      <c r="L602" s="18">
        <v>78</v>
      </c>
    </row>
    <row r="603" spans="1:12" x14ac:dyDescent="0.2">
      <c r="A603" s="9">
        <v>7802800521142</v>
      </c>
      <c r="B603" s="12" t="s">
        <v>308</v>
      </c>
      <c r="C603" s="13">
        <v>12</v>
      </c>
      <c r="D603" s="14" t="s">
        <v>50</v>
      </c>
      <c r="E603" s="2">
        <f>11070/12</f>
        <v>922.5</v>
      </c>
      <c r="F603" s="1">
        <f t="shared" si="24"/>
        <v>840.3361344537816</v>
      </c>
      <c r="G603" s="2">
        <v>1000</v>
      </c>
      <c r="H603" s="1">
        <f t="shared" si="25"/>
        <v>781.51260504201684</v>
      </c>
      <c r="I603" s="2">
        <v>930</v>
      </c>
      <c r="J603" s="18" t="s">
        <v>30</v>
      </c>
      <c r="K603" s="16">
        <v>45492</v>
      </c>
      <c r="L603" s="18">
        <v>6</v>
      </c>
    </row>
    <row r="604" spans="1:12" x14ac:dyDescent="0.2">
      <c r="A604" s="9">
        <v>7802800521067</v>
      </c>
      <c r="B604" s="12" t="s">
        <v>309</v>
      </c>
      <c r="C604" s="13">
        <v>8</v>
      </c>
      <c r="D604" s="14" t="s">
        <v>50</v>
      </c>
      <c r="E604" s="2">
        <v>1019</v>
      </c>
      <c r="F604" s="1">
        <f t="shared" si="24"/>
        <v>1084.0336134453783</v>
      </c>
      <c r="G604" s="2">
        <v>1290</v>
      </c>
      <c r="H604" s="1">
        <f t="shared" si="25"/>
        <v>991.59663865546224</v>
      </c>
      <c r="I604" s="2">
        <v>1180</v>
      </c>
      <c r="J604" s="18" t="s">
        <v>30</v>
      </c>
      <c r="K604" s="16">
        <v>44634</v>
      </c>
      <c r="L604" s="18">
        <v>6</v>
      </c>
    </row>
    <row r="605" spans="1:12" x14ac:dyDescent="0.2">
      <c r="A605" s="9">
        <v>7802800521135</v>
      </c>
      <c r="B605" s="12" t="s">
        <v>310</v>
      </c>
      <c r="C605" s="13">
        <v>12</v>
      </c>
      <c r="D605" s="14" t="s">
        <v>50</v>
      </c>
      <c r="E605" s="2">
        <v>1019</v>
      </c>
      <c r="F605" s="1">
        <f t="shared" si="24"/>
        <v>840.3361344537816</v>
      </c>
      <c r="G605" s="2">
        <v>1000</v>
      </c>
      <c r="H605" s="1">
        <f t="shared" si="25"/>
        <v>781.51260504201684</v>
      </c>
      <c r="I605" s="2">
        <v>930</v>
      </c>
      <c r="J605" s="18" t="s">
        <v>30</v>
      </c>
      <c r="K605" s="16">
        <v>44634</v>
      </c>
      <c r="L605" s="18">
        <v>15</v>
      </c>
    </row>
    <row r="606" spans="1:12" x14ac:dyDescent="0.2">
      <c r="A606" s="8">
        <v>792055021920</v>
      </c>
      <c r="B606" s="12" t="s">
        <v>311</v>
      </c>
      <c r="C606" s="13">
        <v>12</v>
      </c>
      <c r="D606" s="14" t="s">
        <v>50</v>
      </c>
      <c r="E606" s="1">
        <f>1596/1.19</f>
        <v>1341.1764705882354</v>
      </c>
      <c r="F606" s="1">
        <f t="shared" si="24"/>
        <v>2243.6974789915967</v>
      </c>
      <c r="G606" s="1">
        <v>2670</v>
      </c>
      <c r="H606" s="1">
        <f t="shared" si="25"/>
        <v>2134.453781512605</v>
      </c>
      <c r="I606" s="1">
        <v>2540</v>
      </c>
      <c r="J606" s="18" t="s">
        <v>27</v>
      </c>
      <c r="K606" s="16">
        <v>44634</v>
      </c>
      <c r="L606" s="18">
        <v>56</v>
      </c>
    </row>
    <row r="607" spans="1:12" x14ac:dyDescent="0.2">
      <c r="A607" s="9">
        <v>4792055016780</v>
      </c>
      <c r="B607" s="12" t="s">
        <v>416</v>
      </c>
      <c r="C607" s="13">
        <v>1</v>
      </c>
      <c r="D607" s="14" t="s">
        <v>50</v>
      </c>
      <c r="E607" s="2">
        <f>36134/20</f>
        <v>1806.7</v>
      </c>
      <c r="F607" s="1">
        <f t="shared" si="24"/>
        <v>2487.3949579831933</v>
      </c>
      <c r="G607" s="2">
        <v>2960</v>
      </c>
      <c r="H607" s="1">
        <f t="shared" si="25"/>
        <v>2394.9579831932774</v>
      </c>
      <c r="I607" s="2">
        <v>2850</v>
      </c>
      <c r="J607" s="15" t="s">
        <v>27</v>
      </c>
      <c r="K607" s="16">
        <v>45453</v>
      </c>
      <c r="L607" s="18">
        <v>10</v>
      </c>
    </row>
    <row r="608" spans="1:12" x14ac:dyDescent="0.2">
      <c r="A608" s="22">
        <v>6932757124439</v>
      </c>
      <c r="B608" s="12" t="s">
        <v>322</v>
      </c>
      <c r="C608" s="13">
        <v>36</v>
      </c>
      <c r="D608" s="14" t="s">
        <v>50</v>
      </c>
      <c r="E608" s="2">
        <f>14010/36</f>
        <v>389.16666666666669</v>
      </c>
      <c r="F608" s="1">
        <f t="shared" si="24"/>
        <v>529.41176470588243</v>
      </c>
      <c r="G608" s="2">
        <v>630</v>
      </c>
      <c r="H608" s="1">
        <f t="shared" si="25"/>
        <v>504.20168067226894</v>
      </c>
      <c r="I608" s="2">
        <v>600</v>
      </c>
      <c r="J608" s="18" t="s">
        <v>36</v>
      </c>
      <c r="K608" s="41">
        <v>44627</v>
      </c>
      <c r="L608" s="18">
        <v>170</v>
      </c>
    </row>
    <row r="609" spans="1:12" x14ac:dyDescent="0.2">
      <c r="A609" s="9">
        <v>7702425802735</v>
      </c>
      <c r="B609" s="12" t="s">
        <v>636</v>
      </c>
      <c r="C609" s="13">
        <v>12</v>
      </c>
      <c r="D609" s="14" t="s">
        <v>50</v>
      </c>
      <c r="E609" s="2">
        <f>7966/12</f>
        <v>663.83333333333337</v>
      </c>
      <c r="F609" s="1">
        <f t="shared" si="24"/>
        <v>873.94957983193285</v>
      </c>
      <c r="G609" s="2">
        <v>1040</v>
      </c>
      <c r="H609" s="1">
        <f t="shared" si="25"/>
        <v>840.3361344537816</v>
      </c>
      <c r="I609" s="2">
        <v>1000</v>
      </c>
      <c r="J609" s="18" t="s">
        <v>35</v>
      </c>
      <c r="K609" s="16">
        <v>45427</v>
      </c>
      <c r="L609" s="18">
        <v>27</v>
      </c>
    </row>
    <row r="610" spans="1:12" x14ac:dyDescent="0.2">
      <c r="A610" s="9">
        <v>7793650003249</v>
      </c>
      <c r="B610" s="12" t="s">
        <v>312</v>
      </c>
      <c r="C610" s="13">
        <v>48</v>
      </c>
      <c r="D610" s="14" t="s">
        <v>50</v>
      </c>
      <c r="E610" s="2">
        <f>23798/48</f>
        <v>495.79166666666669</v>
      </c>
      <c r="F610" s="1">
        <f t="shared" si="24"/>
        <v>529.41176470588243</v>
      </c>
      <c r="G610" s="2">
        <v>630</v>
      </c>
      <c r="H610" s="1">
        <f t="shared" si="25"/>
        <v>504.20168067226894</v>
      </c>
      <c r="I610" s="2">
        <v>600</v>
      </c>
      <c r="J610" s="18" t="s">
        <v>35</v>
      </c>
      <c r="K610" s="37">
        <v>44777</v>
      </c>
      <c r="L610" s="18">
        <v>706</v>
      </c>
    </row>
    <row r="611" spans="1:12" x14ac:dyDescent="0.2">
      <c r="A611" s="22">
        <v>6932757124446</v>
      </c>
      <c r="B611" s="12" t="s">
        <v>323</v>
      </c>
      <c r="C611" s="13">
        <v>36</v>
      </c>
      <c r="D611" s="14" t="s">
        <v>50</v>
      </c>
      <c r="E611" s="2">
        <f>15445/36</f>
        <v>429.02777777777777</v>
      </c>
      <c r="F611" s="1">
        <f t="shared" si="24"/>
        <v>579.83193277310932</v>
      </c>
      <c r="G611" s="2">
        <v>690</v>
      </c>
      <c r="H611" s="1">
        <f t="shared" si="25"/>
        <v>563.02521008403369</v>
      </c>
      <c r="I611" s="2">
        <v>670</v>
      </c>
      <c r="J611" s="18" t="s">
        <v>36</v>
      </c>
      <c r="K611" s="16">
        <v>44627</v>
      </c>
      <c r="L611" s="18">
        <v>96</v>
      </c>
    </row>
    <row r="612" spans="1:12" x14ac:dyDescent="0.2">
      <c r="A612" s="13">
        <v>77965363</v>
      </c>
      <c r="B612" s="12" t="s">
        <v>92</v>
      </c>
      <c r="C612" s="13">
        <v>1</v>
      </c>
      <c r="D612" s="14" t="s">
        <v>50</v>
      </c>
      <c r="E612" s="1">
        <f>3394/12</f>
        <v>282.83333333333331</v>
      </c>
      <c r="F612" s="1">
        <f t="shared" si="24"/>
        <v>630.2521008403362</v>
      </c>
      <c r="G612" s="1">
        <v>750</v>
      </c>
      <c r="H612" s="1">
        <f t="shared" si="25"/>
        <v>588.23529411764707</v>
      </c>
      <c r="I612" s="1">
        <v>700</v>
      </c>
      <c r="J612" s="18" t="s">
        <v>24</v>
      </c>
      <c r="K612" s="16">
        <v>44452</v>
      </c>
      <c r="L612" s="18">
        <v>8</v>
      </c>
    </row>
    <row r="613" spans="1:12" x14ac:dyDescent="0.2">
      <c r="A613" s="22">
        <v>75069407</v>
      </c>
      <c r="B613" s="12" t="s">
        <v>525</v>
      </c>
      <c r="C613" s="13">
        <v>1</v>
      </c>
      <c r="D613" s="14" t="s">
        <v>50</v>
      </c>
      <c r="E613" s="7">
        <f>3912/14</f>
        <v>279.42857142857144</v>
      </c>
      <c r="F613" s="1">
        <f t="shared" si="24"/>
        <v>630.2521008403362</v>
      </c>
      <c r="G613" s="1">
        <v>750</v>
      </c>
      <c r="H613" s="1">
        <f t="shared" si="25"/>
        <v>588.23529411764707</v>
      </c>
      <c r="I613" s="1">
        <v>700</v>
      </c>
      <c r="J613" s="18" t="s">
        <v>24</v>
      </c>
      <c r="K613" s="16">
        <v>45264</v>
      </c>
      <c r="L613" s="18">
        <v>8</v>
      </c>
    </row>
    <row r="614" spans="1:12" x14ac:dyDescent="0.2">
      <c r="A614" s="8">
        <v>7804947001495</v>
      </c>
      <c r="B614" s="20" t="s">
        <v>319</v>
      </c>
      <c r="C614" s="13">
        <v>24</v>
      </c>
      <c r="D614" s="14" t="s">
        <v>50</v>
      </c>
      <c r="E614" s="2">
        <v>682</v>
      </c>
      <c r="F614" s="1">
        <f t="shared" si="24"/>
        <v>420.1680672268908</v>
      </c>
      <c r="G614" s="2">
        <v>500</v>
      </c>
      <c r="H614" s="1">
        <f t="shared" si="25"/>
        <v>420.1680672268908</v>
      </c>
      <c r="I614" s="2">
        <v>500</v>
      </c>
      <c r="J614" s="18" t="s">
        <v>39</v>
      </c>
      <c r="K614" s="16">
        <v>44620</v>
      </c>
      <c r="L614" s="18">
        <v>53</v>
      </c>
    </row>
    <row r="615" spans="1:12" x14ac:dyDescent="0.2">
      <c r="A615" s="8">
        <v>7804947001488</v>
      </c>
      <c r="B615" s="20" t="s">
        <v>313</v>
      </c>
      <c r="C615" s="13">
        <v>24</v>
      </c>
      <c r="D615" s="14" t="s">
        <v>50</v>
      </c>
      <c r="E615" s="2">
        <v>682</v>
      </c>
      <c r="F615" s="1">
        <f t="shared" si="24"/>
        <v>420.1680672268908</v>
      </c>
      <c r="G615" s="2">
        <v>500</v>
      </c>
      <c r="H615" s="1">
        <f t="shared" si="25"/>
        <v>420.1680672268908</v>
      </c>
      <c r="I615" s="2">
        <v>500</v>
      </c>
      <c r="J615" s="18" t="s">
        <v>39</v>
      </c>
      <c r="K615" s="16">
        <v>44564</v>
      </c>
      <c r="L615" s="18">
        <v>35</v>
      </c>
    </row>
    <row r="616" spans="1:12" x14ac:dyDescent="0.2">
      <c r="A616" s="8">
        <v>7804947001471</v>
      </c>
      <c r="B616" s="20" t="s">
        <v>314</v>
      </c>
      <c r="C616" s="13">
        <v>24</v>
      </c>
      <c r="D616" s="14" t="s">
        <v>50</v>
      </c>
      <c r="E616" s="2">
        <v>682</v>
      </c>
      <c r="F616" s="1">
        <f t="shared" si="24"/>
        <v>420.1680672268908</v>
      </c>
      <c r="G616" s="2">
        <v>500</v>
      </c>
      <c r="H616" s="1">
        <f t="shared" si="25"/>
        <v>420.1680672268908</v>
      </c>
      <c r="I616" s="2">
        <v>500</v>
      </c>
      <c r="J616" s="18" t="s">
        <v>39</v>
      </c>
      <c r="K616" s="37">
        <v>44620</v>
      </c>
      <c r="L616" s="18">
        <v>32</v>
      </c>
    </row>
    <row r="617" spans="1:12" x14ac:dyDescent="0.2">
      <c r="A617" s="8">
        <v>7804947001464</v>
      </c>
      <c r="B617" s="20" t="s">
        <v>315</v>
      </c>
      <c r="C617" s="13">
        <v>24</v>
      </c>
      <c r="D617" s="14" t="s">
        <v>50</v>
      </c>
      <c r="E617" s="2">
        <v>682</v>
      </c>
      <c r="F617" s="1">
        <f t="shared" si="24"/>
        <v>420.1680672268908</v>
      </c>
      <c r="G617" s="2">
        <v>500</v>
      </c>
      <c r="H617" s="1">
        <f t="shared" si="25"/>
        <v>420.1680672268908</v>
      </c>
      <c r="I617" s="2">
        <v>500</v>
      </c>
      <c r="J617" s="18" t="s">
        <v>39</v>
      </c>
      <c r="K617" s="16">
        <v>44620</v>
      </c>
      <c r="L617" s="18">
        <v>22</v>
      </c>
    </row>
    <row r="618" spans="1:12" x14ac:dyDescent="0.2">
      <c r="A618" s="8">
        <v>7804947001457</v>
      </c>
      <c r="B618" s="20" t="s">
        <v>316</v>
      </c>
      <c r="C618" s="13">
        <v>24</v>
      </c>
      <c r="D618" s="14" t="s">
        <v>50</v>
      </c>
      <c r="E618" s="2">
        <v>682</v>
      </c>
      <c r="F618" s="1">
        <f t="shared" si="24"/>
        <v>420.1680672268908</v>
      </c>
      <c r="G618" s="2">
        <v>500</v>
      </c>
      <c r="H618" s="1">
        <f t="shared" si="25"/>
        <v>420.1680672268908</v>
      </c>
      <c r="I618" s="2">
        <v>500</v>
      </c>
      <c r="J618" s="18" t="s">
        <v>39</v>
      </c>
      <c r="K618" s="16">
        <v>44620</v>
      </c>
      <c r="L618" s="18">
        <v>12</v>
      </c>
    </row>
    <row r="619" spans="1:12" x14ac:dyDescent="0.2">
      <c r="A619" s="8">
        <v>7896854789632</v>
      </c>
      <c r="B619" s="20" t="s">
        <v>317</v>
      </c>
      <c r="C619" s="13">
        <v>24</v>
      </c>
      <c r="D619" s="14" t="s">
        <v>50</v>
      </c>
      <c r="E619" s="2">
        <v>682</v>
      </c>
      <c r="F619" s="1">
        <f t="shared" si="24"/>
        <v>420.1680672268908</v>
      </c>
      <c r="G619" s="2">
        <v>500</v>
      </c>
      <c r="H619" s="1">
        <f t="shared" si="25"/>
        <v>420.1680672268908</v>
      </c>
      <c r="I619" s="2">
        <v>500</v>
      </c>
      <c r="J619" s="18" t="s">
        <v>39</v>
      </c>
      <c r="K619" s="37">
        <v>44564</v>
      </c>
      <c r="L619" s="18">
        <v>12</v>
      </c>
    </row>
    <row r="620" spans="1:12" x14ac:dyDescent="0.2">
      <c r="A620" s="8">
        <v>7804947001358</v>
      </c>
      <c r="B620" s="20" t="s">
        <v>318</v>
      </c>
      <c r="C620" s="13">
        <v>24</v>
      </c>
      <c r="D620" s="14" t="s">
        <v>50</v>
      </c>
      <c r="E620" s="2">
        <v>682</v>
      </c>
      <c r="F620" s="1">
        <f t="shared" si="24"/>
        <v>420.1680672268908</v>
      </c>
      <c r="G620" s="2">
        <v>500</v>
      </c>
      <c r="H620" s="1">
        <f t="shared" si="25"/>
        <v>420.1680672268908</v>
      </c>
      <c r="I620" s="2">
        <v>500</v>
      </c>
      <c r="J620" s="18" t="s">
        <v>39</v>
      </c>
      <c r="K620" s="16">
        <v>44775</v>
      </c>
      <c r="L620" s="18">
        <v>102</v>
      </c>
    </row>
    <row r="621" spans="1:12" x14ac:dyDescent="0.2">
      <c r="A621" s="8">
        <v>7806500406389</v>
      </c>
      <c r="B621" s="12" t="s">
        <v>157</v>
      </c>
      <c r="C621" s="13">
        <v>6</v>
      </c>
      <c r="D621" s="14" t="s">
        <v>50</v>
      </c>
      <c r="E621" s="2">
        <f>11336/6</f>
        <v>1889.3333333333333</v>
      </c>
      <c r="F621" s="1">
        <f t="shared" si="24"/>
        <v>2193.2773109243699</v>
      </c>
      <c r="G621" s="2">
        <v>2610</v>
      </c>
      <c r="H621" s="1">
        <f t="shared" si="25"/>
        <v>2134.453781512605</v>
      </c>
      <c r="I621" s="2">
        <v>2540</v>
      </c>
      <c r="J621" s="18" t="s">
        <v>35</v>
      </c>
      <c r="K621" s="16">
        <v>45427</v>
      </c>
      <c r="L621" s="18">
        <v>266</v>
      </c>
    </row>
    <row r="622" spans="1:12" x14ac:dyDescent="0.2">
      <c r="A622" s="8">
        <v>7804653340727</v>
      </c>
      <c r="B622" s="20" t="s">
        <v>511</v>
      </c>
      <c r="C622" s="13">
        <v>8</v>
      </c>
      <c r="D622" s="14" t="s">
        <v>50</v>
      </c>
      <c r="E622" s="2">
        <f>5538/8</f>
        <v>692.25</v>
      </c>
      <c r="F622" s="1">
        <f t="shared" si="24"/>
        <v>823.52941176470597</v>
      </c>
      <c r="G622" s="2">
        <v>980</v>
      </c>
      <c r="H622" s="1">
        <f t="shared" si="25"/>
        <v>798.31932773109247</v>
      </c>
      <c r="I622" s="2">
        <v>950</v>
      </c>
      <c r="J622" s="18" t="s">
        <v>35</v>
      </c>
      <c r="K622" s="16">
        <v>45482</v>
      </c>
      <c r="L622" s="18">
        <v>381</v>
      </c>
    </row>
    <row r="623" spans="1:12" x14ac:dyDescent="0.2">
      <c r="A623" s="9">
        <v>869087905029</v>
      </c>
      <c r="B623" s="12" t="s">
        <v>709</v>
      </c>
      <c r="C623" s="13">
        <v>6</v>
      </c>
      <c r="D623" s="14" t="s">
        <v>50</v>
      </c>
      <c r="E623" s="2">
        <v>630</v>
      </c>
      <c r="F623" s="1">
        <f t="shared" si="24"/>
        <v>823.52941176470597</v>
      </c>
      <c r="G623" s="2">
        <v>980</v>
      </c>
      <c r="H623" s="1">
        <f t="shared" si="25"/>
        <v>798.31932773109247</v>
      </c>
      <c r="I623" s="2">
        <v>950</v>
      </c>
      <c r="J623" s="18" t="s">
        <v>20</v>
      </c>
      <c r="K623" s="37">
        <v>45503</v>
      </c>
      <c r="L623" s="18">
        <v>78</v>
      </c>
    </row>
    <row r="624" spans="1:12" x14ac:dyDescent="0.2">
      <c r="A624" s="9">
        <v>869087905012</v>
      </c>
      <c r="B624" s="12" t="s">
        <v>708</v>
      </c>
      <c r="C624" s="13">
        <v>6</v>
      </c>
      <c r="D624" s="14" t="s">
        <v>50</v>
      </c>
      <c r="E624" s="2">
        <v>630</v>
      </c>
      <c r="F624" s="1">
        <f t="shared" si="24"/>
        <v>823.52941176470597</v>
      </c>
      <c r="G624" s="2">
        <v>980</v>
      </c>
      <c r="H624" s="1">
        <f t="shared" si="25"/>
        <v>798.31932773109247</v>
      </c>
      <c r="I624" s="2">
        <v>950</v>
      </c>
      <c r="J624" s="18" t="s">
        <v>20</v>
      </c>
      <c r="K624" s="37">
        <v>45503</v>
      </c>
      <c r="L624" s="18">
        <v>78</v>
      </c>
    </row>
    <row r="625" spans="1:12" x14ac:dyDescent="0.2">
      <c r="A625" s="8">
        <v>7806500408444</v>
      </c>
      <c r="B625" s="12" t="s">
        <v>321</v>
      </c>
      <c r="C625" s="13">
        <v>18</v>
      </c>
      <c r="D625" s="14" t="s">
        <v>50</v>
      </c>
      <c r="E625" s="2">
        <f>27943/18</f>
        <v>1552.3888888888889</v>
      </c>
      <c r="F625" s="1">
        <f t="shared" si="24"/>
        <v>1831.9327731092437</v>
      </c>
      <c r="G625" s="2">
        <v>2180</v>
      </c>
      <c r="H625" s="1">
        <f t="shared" si="25"/>
        <v>1764.7058823529412</v>
      </c>
      <c r="I625" s="2">
        <v>2100</v>
      </c>
      <c r="J625" s="18" t="s">
        <v>353</v>
      </c>
      <c r="K625" s="16">
        <v>45448</v>
      </c>
      <c r="L625" s="18">
        <v>57</v>
      </c>
    </row>
    <row r="626" spans="1:12" x14ac:dyDescent="0.2">
      <c r="A626" s="8">
        <v>7806500406747</v>
      </c>
      <c r="B626" s="12" t="s">
        <v>116</v>
      </c>
      <c r="C626" s="13">
        <v>8</v>
      </c>
      <c r="D626" s="14" t="s">
        <v>50</v>
      </c>
      <c r="E626" s="1">
        <f>13941/10</f>
        <v>1394.1</v>
      </c>
      <c r="F626" s="1">
        <f t="shared" si="24"/>
        <v>1596.6386554621849</v>
      </c>
      <c r="G626" s="1">
        <v>1900</v>
      </c>
      <c r="H626" s="1">
        <f t="shared" si="25"/>
        <v>1537.8151260504203</v>
      </c>
      <c r="I626" s="1">
        <v>1830</v>
      </c>
      <c r="J626" s="18" t="s">
        <v>35</v>
      </c>
      <c r="K626" s="16">
        <v>44784</v>
      </c>
      <c r="L626" s="18">
        <v>128</v>
      </c>
    </row>
    <row r="627" spans="1:12" x14ac:dyDescent="0.2">
      <c r="A627" s="22">
        <v>7804670490054</v>
      </c>
      <c r="B627" s="12" t="s">
        <v>327</v>
      </c>
      <c r="C627" s="13">
        <v>100</v>
      </c>
      <c r="D627" s="14" t="s">
        <v>50</v>
      </c>
      <c r="E627" s="2">
        <f>42000/100</f>
        <v>420</v>
      </c>
      <c r="F627" s="1">
        <f t="shared" si="24"/>
        <v>386.55462184873949</v>
      </c>
      <c r="G627" s="2">
        <v>460</v>
      </c>
      <c r="H627" s="1">
        <f t="shared" si="25"/>
        <v>378.15126050420167</v>
      </c>
      <c r="I627" s="2">
        <v>450</v>
      </c>
      <c r="J627" s="18" t="s">
        <v>36</v>
      </c>
      <c r="K627" s="16">
        <v>44601</v>
      </c>
      <c r="L627" s="18">
        <v>60</v>
      </c>
    </row>
    <row r="628" spans="1:12" x14ac:dyDescent="0.2">
      <c r="A628" s="22">
        <v>7804670490153</v>
      </c>
      <c r="B628" s="12" t="s">
        <v>328</v>
      </c>
      <c r="C628" s="13">
        <v>48</v>
      </c>
      <c r="D628" s="14" t="s">
        <v>50</v>
      </c>
      <c r="E628" s="2">
        <f>44330/48</f>
        <v>923.54166666666663</v>
      </c>
      <c r="F628" s="1">
        <f t="shared" si="24"/>
        <v>840.3361344537816</v>
      </c>
      <c r="G628" s="2">
        <v>1000</v>
      </c>
      <c r="H628" s="1">
        <f t="shared" si="25"/>
        <v>840.3361344537816</v>
      </c>
      <c r="I628" s="2">
        <v>1000</v>
      </c>
      <c r="J628" s="18" t="s">
        <v>36</v>
      </c>
      <c r="K628" s="16">
        <v>44410</v>
      </c>
      <c r="L628" s="18">
        <v>110</v>
      </c>
    </row>
    <row r="629" spans="1:12" x14ac:dyDescent="0.2">
      <c r="A629" s="9">
        <v>7806500731177</v>
      </c>
      <c r="B629" s="12" t="s">
        <v>121</v>
      </c>
      <c r="C629" s="13">
        <v>10</v>
      </c>
      <c r="D629" s="14" t="s">
        <v>50</v>
      </c>
      <c r="E629" s="2">
        <f>5462/10</f>
        <v>546.20000000000005</v>
      </c>
      <c r="F629" s="1">
        <f t="shared" si="24"/>
        <v>789.9159663865546</v>
      </c>
      <c r="G629" s="2">
        <v>940</v>
      </c>
      <c r="H629" s="1">
        <f t="shared" si="25"/>
        <v>756.30252100840335</v>
      </c>
      <c r="I629" s="2">
        <v>900</v>
      </c>
      <c r="J629" s="18" t="s">
        <v>677</v>
      </c>
      <c r="K629" s="16">
        <v>45490</v>
      </c>
      <c r="L629" s="18">
        <v>100</v>
      </c>
    </row>
    <row r="630" spans="1:12" x14ac:dyDescent="0.2">
      <c r="A630" s="9">
        <v>8690879919163</v>
      </c>
      <c r="B630" s="19" t="s">
        <v>324</v>
      </c>
      <c r="C630" s="13">
        <v>24</v>
      </c>
      <c r="D630" s="14" t="s">
        <v>50</v>
      </c>
      <c r="E630" s="2">
        <v>748</v>
      </c>
      <c r="F630" s="1">
        <f t="shared" si="24"/>
        <v>1159.6638655462186</v>
      </c>
      <c r="G630" s="2">
        <v>1380</v>
      </c>
      <c r="H630" s="1">
        <f t="shared" si="25"/>
        <v>1092.4369747899161</v>
      </c>
      <c r="I630" s="2">
        <v>1300</v>
      </c>
      <c r="J630" s="18" t="s">
        <v>20</v>
      </c>
      <c r="K630" s="16">
        <v>45503</v>
      </c>
      <c r="L630" s="18">
        <v>144</v>
      </c>
    </row>
    <row r="631" spans="1:12" x14ac:dyDescent="0.2">
      <c r="A631" s="9">
        <v>7804603541419</v>
      </c>
      <c r="B631" s="19" t="s">
        <v>99</v>
      </c>
      <c r="C631" s="13">
        <v>18</v>
      </c>
      <c r="D631" s="14" t="s">
        <v>50</v>
      </c>
      <c r="E631" s="2">
        <f>17319/18</f>
        <v>962.16666666666663</v>
      </c>
      <c r="F631" s="1">
        <f t="shared" si="24"/>
        <v>1260.5042016806724</v>
      </c>
      <c r="G631" s="2">
        <v>1500</v>
      </c>
      <c r="H631" s="1">
        <f t="shared" si="25"/>
        <v>1210.0840336134454</v>
      </c>
      <c r="I631" s="2">
        <v>1440</v>
      </c>
      <c r="J631" s="18" t="s">
        <v>35</v>
      </c>
      <c r="K631" s="16">
        <v>45482</v>
      </c>
      <c r="L631" s="18">
        <v>54</v>
      </c>
    </row>
    <row r="632" spans="1:12" x14ac:dyDescent="0.2">
      <c r="A632" s="9">
        <v>7804603541723</v>
      </c>
      <c r="B632" s="19" t="s">
        <v>100</v>
      </c>
      <c r="C632" s="13">
        <v>24</v>
      </c>
      <c r="D632" s="14" t="s">
        <v>50</v>
      </c>
      <c r="E632" s="2">
        <f>18050/24</f>
        <v>752.08333333333337</v>
      </c>
      <c r="F632" s="1">
        <f t="shared" si="24"/>
        <v>1008.4033613445379</v>
      </c>
      <c r="G632" s="2">
        <v>1200</v>
      </c>
      <c r="H632" s="1">
        <f t="shared" si="25"/>
        <v>974.78991596638662</v>
      </c>
      <c r="I632" s="2">
        <v>1160</v>
      </c>
      <c r="J632" s="18" t="s">
        <v>35</v>
      </c>
      <c r="K632" s="16">
        <v>45427</v>
      </c>
      <c r="L632" s="18">
        <v>48</v>
      </c>
    </row>
    <row r="633" spans="1:12" x14ac:dyDescent="0.2">
      <c r="A633" s="8">
        <v>8681554621013</v>
      </c>
      <c r="B633" s="12" t="s">
        <v>536</v>
      </c>
      <c r="C633" s="13">
        <v>12</v>
      </c>
      <c r="D633" s="14" t="s">
        <v>50</v>
      </c>
      <c r="E633" s="2">
        <f>1320/1.19</f>
        <v>1109.2436974789916</v>
      </c>
      <c r="F633" s="1">
        <f t="shared" si="24"/>
        <v>1596.6386554621849</v>
      </c>
      <c r="G633" s="2">
        <v>1900</v>
      </c>
      <c r="H633" s="1">
        <f t="shared" si="25"/>
        <v>1529.4117647058824</v>
      </c>
      <c r="I633" s="2">
        <v>1820</v>
      </c>
      <c r="J633" s="18" t="s">
        <v>547</v>
      </c>
      <c r="K633" s="16">
        <v>45308</v>
      </c>
      <c r="L633" s="18">
        <v>2</v>
      </c>
    </row>
    <row r="634" spans="1:12" x14ac:dyDescent="0.2">
      <c r="A634" s="8">
        <v>8681554621020</v>
      </c>
      <c r="B634" s="12" t="s">
        <v>664</v>
      </c>
      <c r="C634" s="13">
        <v>12</v>
      </c>
      <c r="D634" s="14" t="s">
        <v>50</v>
      </c>
      <c r="E634" s="2">
        <f>1390/1.19</f>
        <v>1168.0672268907563</v>
      </c>
      <c r="F634" s="1">
        <f t="shared" si="24"/>
        <v>1596.6386554621849</v>
      </c>
      <c r="G634" s="2">
        <v>1900</v>
      </c>
      <c r="H634" s="1">
        <f t="shared" si="25"/>
        <v>1529.4117647058824</v>
      </c>
      <c r="I634" s="2">
        <v>1820</v>
      </c>
      <c r="J634" s="18" t="s">
        <v>547</v>
      </c>
      <c r="K634" s="16">
        <v>45455</v>
      </c>
      <c r="L634" s="18">
        <v>18</v>
      </c>
    </row>
    <row r="635" spans="1:12" x14ac:dyDescent="0.2">
      <c r="A635" s="9" t="s">
        <v>104</v>
      </c>
      <c r="B635" s="12" t="s">
        <v>325</v>
      </c>
      <c r="C635" s="13">
        <v>1</v>
      </c>
      <c r="D635" s="14" t="s">
        <v>50</v>
      </c>
      <c r="E635" s="2">
        <f>14571/6</f>
        <v>2428.5</v>
      </c>
      <c r="F635" s="1">
        <f t="shared" si="24"/>
        <v>3159.6638655462184</v>
      </c>
      <c r="G635" s="2">
        <v>3760</v>
      </c>
      <c r="H635" s="1">
        <f t="shared" si="25"/>
        <v>3042.0168067226891</v>
      </c>
      <c r="I635" s="2">
        <v>3620</v>
      </c>
      <c r="J635" s="18" t="s">
        <v>35</v>
      </c>
      <c r="K635" s="16">
        <v>45356</v>
      </c>
      <c r="L635" s="18">
        <v>432</v>
      </c>
    </row>
    <row r="636" spans="1:12" x14ac:dyDescent="0.2">
      <c r="A636" s="9">
        <v>614143258022</v>
      </c>
      <c r="B636" s="12" t="s">
        <v>675</v>
      </c>
      <c r="C636" s="13">
        <v>2</v>
      </c>
      <c r="D636" s="14" t="s">
        <v>50</v>
      </c>
      <c r="E636" s="2">
        <v>5990</v>
      </c>
      <c r="F636" s="1">
        <f t="shared" si="24"/>
        <v>7058.8235294117649</v>
      </c>
      <c r="G636" s="2">
        <v>8400</v>
      </c>
      <c r="H636" s="1">
        <f t="shared" si="25"/>
        <v>6815.1260504201682</v>
      </c>
      <c r="I636" s="2">
        <v>8110</v>
      </c>
      <c r="J636" s="18" t="s">
        <v>599</v>
      </c>
      <c r="K636" s="16">
        <v>45488</v>
      </c>
      <c r="L636" s="18">
        <v>7</v>
      </c>
    </row>
    <row r="637" spans="1:12" x14ac:dyDescent="0.2">
      <c r="A637" s="9">
        <v>1000000525172</v>
      </c>
      <c r="B637" s="12" t="s">
        <v>498</v>
      </c>
      <c r="C637" s="13">
        <v>2</v>
      </c>
      <c r="D637" s="14" t="s">
        <v>50</v>
      </c>
      <c r="E637" s="2">
        <v>2429</v>
      </c>
      <c r="F637" s="1">
        <f t="shared" si="24"/>
        <v>3336.1344537815125</v>
      </c>
      <c r="G637" s="2">
        <v>3970</v>
      </c>
      <c r="H637" s="1">
        <f t="shared" si="25"/>
        <v>3201.6806722689075</v>
      </c>
      <c r="I637" s="2">
        <v>3810</v>
      </c>
      <c r="J637" s="18" t="s">
        <v>434</v>
      </c>
      <c r="K637" s="16">
        <v>45454</v>
      </c>
      <c r="L637" s="18">
        <v>3</v>
      </c>
    </row>
    <row r="638" spans="1:12" x14ac:dyDescent="0.2">
      <c r="A638" s="8" t="s">
        <v>57</v>
      </c>
      <c r="B638" s="20" t="s">
        <v>326</v>
      </c>
      <c r="C638" s="13">
        <v>1</v>
      </c>
      <c r="D638" s="14" t="s">
        <v>50</v>
      </c>
      <c r="E638" s="2">
        <f>6000/1.19</f>
        <v>5042.0168067226896</v>
      </c>
      <c r="F638" s="1">
        <f t="shared" si="24"/>
        <v>6470.588235294118</v>
      </c>
      <c r="G638" s="2">
        <v>7700</v>
      </c>
      <c r="H638" s="1">
        <f t="shared" si="25"/>
        <v>6235.2941176470595</v>
      </c>
      <c r="I638" s="2">
        <v>7420</v>
      </c>
      <c r="J638" s="18" t="s">
        <v>19</v>
      </c>
      <c r="K638" s="16">
        <v>45434</v>
      </c>
      <c r="L638" s="18">
        <v>1</v>
      </c>
    </row>
    <row r="639" spans="1:12" x14ac:dyDescent="0.2">
      <c r="A639" s="8">
        <v>7804653341533</v>
      </c>
      <c r="B639" s="12" t="s">
        <v>497</v>
      </c>
      <c r="C639" s="13">
        <v>6</v>
      </c>
      <c r="D639" s="14" t="s">
        <v>50</v>
      </c>
      <c r="E639" s="2">
        <f>10412/6</f>
        <v>1735.3333333333333</v>
      </c>
      <c r="F639" s="1">
        <f t="shared" si="24"/>
        <v>2764.7058823529414</v>
      </c>
      <c r="G639" s="2">
        <v>3290</v>
      </c>
      <c r="H639" s="1">
        <f t="shared" si="25"/>
        <v>2638.6554621848741</v>
      </c>
      <c r="I639" s="2">
        <v>3140</v>
      </c>
      <c r="J639" s="18" t="s">
        <v>35</v>
      </c>
      <c r="K639" s="16">
        <v>45148</v>
      </c>
      <c r="L639" s="18">
        <v>24</v>
      </c>
    </row>
    <row r="640" spans="1:12" x14ac:dyDescent="0.2">
      <c r="A640" s="8">
        <v>7806500401704</v>
      </c>
      <c r="B640" s="12" t="s">
        <v>107</v>
      </c>
      <c r="C640" s="13">
        <v>8</v>
      </c>
      <c r="D640" s="14" t="s">
        <v>50</v>
      </c>
      <c r="E640" s="2">
        <f>7303/8</f>
        <v>912.875</v>
      </c>
      <c r="F640" s="1">
        <f t="shared" si="24"/>
        <v>1025.2100840336134</v>
      </c>
      <c r="G640" s="2">
        <v>1220</v>
      </c>
      <c r="H640" s="1">
        <f t="shared" si="25"/>
        <v>991.59663865546224</v>
      </c>
      <c r="I640" s="2">
        <v>1180</v>
      </c>
      <c r="J640" s="18" t="s">
        <v>35</v>
      </c>
      <c r="K640" s="16">
        <v>45356</v>
      </c>
      <c r="L640" s="18">
        <v>97</v>
      </c>
    </row>
    <row r="641" spans="1:12" x14ac:dyDescent="0.2">
      <c r="A641" s="8">
        <v>7804670070508</v>
      </c>
      <c r="B641" s="20" t="s">
        <v>499</v>
      </c>
      <c r="C641" s="13">
        <v>8</v>
      </c>
      <c r="D641" s="14" t="s">
        <v>50</v>
      </c>
      <c r="E641" s="2">
        <f>5790/8</f>
        <v>723.75</v>
      </c>
      <c r="F641" s="1">
        <f t="shared" si="24"/>
        <v>831.93277310924373</v>
      </c>
      <c r="G641" s="2">
        <v>990</v>
      </c>
      <c r="H641" s="1">
        <f t="shared" si="25"/>
        <v>806.72268907563034</v>
      </c>
      <c r="I641" s="2">
        <v>960</v>
      </c>
      <c r="J641" s="18" t="s">
        <v>35</v>
      </c>
      <c r="K641" s="16">
        <v>45482</v>
      </c>
      <c r="L641" s="18">
        <v>349</v>
      </c>
    </row>
    <row r="642" spans="1:12" x14ac:dyDescent="0.2">
      <c r="A642" s="8">
        <v>7804670070607</v>
      </c>
      <c r="B642" s="20" t="s">
        <v>674</v>
      </c>
      <c r="C642" s="13">
        <v>6</v>
      </c>
      <c r="D642" s="14" t="s">
        <v>50</v>
      </c>
      <c r="E642" s="21">
        <f>8647/6</f>
        <v>1441.1666666666667</v>
      </c>
      <c r="F642" s="1">
        <f t="shared" si="24"/>
        <v>1680.6722689075632</v>
      </c>
      <c r="G642" s="21">
        <v>2000</v>
      </c>
      <c r="H642" s="1">
        <f t="shared" si="25"/>
        <v>1630.2521008403362</v>
      </c>
      <c r="I642" s="21">
        <v>1940</v>
      </c>
      <c r="J642" s="18" t="s">
        <v>35</v>
      </c>
      <c r="K642" s="16">
        <v>45482</v>
      </c>
      <c r="L642" s="18">
        <v>36</v>
      </c>
    </row>
    <row r="643" spans="1:12" x14ac:dyDescent="0.2">
      <c r="A643" s="8" t="s">
        <v>62</v>
      </c>
      <c r="B643" s="20" t="s">
        <v>140</v>
      </c>
      <c r="C643" s="13">
        <v>1</v>
      </c>
      <c r="D643" s="14" t="s">
        <v>50</v>
      </c>
      <c r="E643" s="2">
        <f>470/1.19</f>
        <v>394.9579831932773</v>
      </c>
      <c r="F643" s="1">
        <f t="shared" ref="F643:F684" si="26">G643/1.19</f>
        <v>655.46218487394958</v>
      </c>
      <c r="G643" s="2">
        <v>780</v>
      </c>
      <c r="H643" s="1">
        <f t="shared" ref="H643:H684" si="27">I643/1.19</f>
        <v>630.2521008403362</v>
      </c>
      <c r="I643" s="2">
        <v>750</v>
      </c>
      <c r="J643" s="18" t="s">
        <v>19</v>
      </c>
      <c r="K643" s="16">
        <v>44999</v>
      </c>
      <c r="L643" s="18">
        <v>25</v>
      </c>
    </row>
    <row r="644" spans="1:12" x14ac:dyDescent="0.2">
      <c r="A644" s="8">
        <v>7805020002620</v>
      </c>
      <c r="B644" s="20" t="s">
        <v>435</v>
      </c>
      <c r="C644" s="13">
        <v>10</v>
      </c>
      <c r="D644" s="14" t="s">
        <v>50</v>
      </c>
      <c r="E644" s="2">
        <f>13125/10</f>
        <v>1312.5</v>
      </c>
      <c r="F644" s="1">
        <f t="shared" si="26"/>
        <v>1672.2689075630253</v>
      </c>
      <c r="G644" s="2">
        <v>1990</v>
      </c>
      <c r="H644" s="1">
        <f t="shared" si="27"/>
        <v>1596.6386554621849</v>
      </c>
      <c r="I644" s="2">
        <v>1900</v>
      </c>
      <c r="J644" s="18" t="s">
        <v>17</v>
      </c>
      <c r="K644" s="16">
        <v>45044</v>
      </c>
      <c r="L644" s="18">
        <v>60</v>
      </c>
    </row>
    <row r="645" spans="1:12" x14ac:dyDescent="0.2">
      <c r="A645" s="8">
        <v>7805020001876</v>
      </c>
      <c r="B645" s="20" t="s">
        <v>330</v>
      </c>
      <c r="C645" s="13">
        <v>24</v>
      </c>
      <c r="D645" s="14" t="s">
        <v>50</v>
      </c>
      <c r="E645" s="2">
        <f>13125/10</f>
        <v>1312.5</v>
      </c>
      <c r="F645" s="1">
        <f t="shared" si="26"/>
        <v>1672.2689075630253</v>
      </c>
      <c r="G645" s="2">
        <v>1990</v>
      </c>
      <c r="H645" s="1">
        <f t="shared" si="27"/>
        <v>1596.6386554621849</v>
      </c>
      <c r="I645" s="2">
        <v>1900</v>
      </c>
      <c r="J645" s="18" t="s">
        <v>17</v>
      </c>
      <c r="K645" s="16">
        <v>44805</v>
      </c>
      <c r="L645" s="18">
        <v>5</v>
      </c>
    </row>
    <row r="646" spans="1:12" x14ac:dyDescent="0.2">
      <c r="A646" s="8">
        <v>7805020001821</v>
      </c>
      <c r="B646" s="20" t="s">
        <v>331</v>
      </c>
      <c r="C646" s="13">
        <v>10</v>
      </c>
      <c r="D646" s="14" t="s">
        <v>50</v>
      </c>
      <c r="E646" s="2">
        <f>13125/10</f>
        <v>1312.5</v>
      </c>
      <c r="F646" s="1">
        <f t="shared" si="26"/>
        <v>1672.2689075630253</v>
      </c>
      <c r="G646" s="2">
        <v>1990</v>
      </c>
      <c r="H646" s="1">
        <f t="shared" si="27"/>
        <v>1596.6386554621849</v>
      </c>
      <c r="I646" s="2">
        <v>1900</v>
      </c>
      <c r="J646" s="18" t="s">
        <v>17</v>
      </c>
      <c r="K646" s="16">
        <v>44770</v>
      </c>
      <c r="L646" s="18">
        <v>48</v>
      </c>
    </row>
    <row r="647" spans="1:12" x14ac:dyDescent="0.2">
      <c r="A647" s="8">
        <v>7805020001838</v>
      </c>
      <c r="B647" s="12" t="s">
        <v>332</v>
      </c>
      <c r="C647" s="13">
        <v>24</v>
      </c>
      <c r="D647" s="14" t="s">
        <v>50</v>
      </c>
      <c r="E647" s="2">
        <f>13125/10</f>
        <v>1312.5</v>
      </c>
      <c r="F647" s="1">
        <f t="shared" si="26"/>
        <v>1672.2689075630253</v>
      </c>
      <c r="G647" s="2">
        <v>1990</v>
      </c>
      <c r="H647" s="1">
        <f t="shared" si="27"/>
        <v>1596.6386554621849</v>
      </c>
      <c r="I647" s="2">
        <v>1900</v>
      </c>
      <c r="J647" s="18" t="s">
        <v>17</v>
      </c>
      <c r="K647" s="16">
        <v>44805</v>
      </c>
      <c r="L647" s="18">
        <v>10</v>
      </c>
    </row>
    <row r="648" spans="1:12" x14ac:dyDescent="0.2">
      <c r="A648" s="8">
        <v>7805040004451</v>
      </c>
      <c r="B648" s="12" t="s">
        <v>90</v>
      </c>
      <c r="C648" s="13">
        <v>12</v>
      </c>
      <c r="D648" s="14" t="s">
        <v>50</v>
      </c>
      <c r="E648" s="1">
        <f>15331/12</f>
        <v>1277.5833333333333</v>
      </c>
      <c r="F648" s="1">
        <f t="shared" si="26"/>
        <v>1672.2689075630253</v>
      </c>
      <c r="G648" s="2">
        <v>1990</v>
      </c>
      <c r="H648" s="1">
        <f t="shared" si="27"/>
        <v>1596.6386554621849</v>
      </c>
      <c r="I648" s="2">
        <v>1900</v>
      </c>
      <c r="J648" s="18" t="s">
        <v>34</v>
      </c>
      <c r="K648" s="16">
        <v>44789</v>
      </c>
      <c r="L648" s="18">
        <v>6</v>
      </c>
    </row>
    <row r="649" spans="1:12" x14ac:dyDescent="0.2">
      <c r="A649" s="8"/>
      <c r="B649" s="12" t="s">
        <v>726</v>
      </c>
      <c r="C649" s="13">
        <v>12</v>
      </c>
      <c r="D649" s="14" t="s">
        <v>50</v>
      </c>
      <c r="E649" s="1">
        <f>15331/12</f>
        <v>1277.5833333333333</v>
      </c>
      <c r="F649" s="1">
        <f t="shared" si="26"/>
        <v>1672.2689075630253</v>
      </c>
      <c r="G649" s="2">
        <v>1990</v>
      </c>
      <c r="H649" s="1">
        <f t="shared" si="27"/>
        <v>1596.6386554621849</v>
      </c>
      <c r="I649" s="2">
        <v>1900</v>
      </c>
      <c r="J649" s="15" t="s">
        <v>34</v>
      </c>
      <c r="K649" s="16">
        <v>44789</v>
      </c>
      <c r="L649" s="17">
        <v>31</v>
      </c>
    </row>
    <row r="650" spans="1:12" x14ac:dyDescent="0.2">
      <c r="A650" s="8">
        <v>7805040004697</v>
      </c>
      <c r="B650" s="12" t="s">
        <v>329</v>
      </c>
      <c r="C650" s="13">
        <v>12</v>
      </c>
      <c r="D650" s="14" t="s">
        <v>50</v>
      </c>
      <c r="E650" s="1">
        <f>15331/12</f>
        <v>1277.5833333333333</v>
      </c>
      <c r="F650" s="1">
        <f t="shared" si="26"/>
        <v>1672.2689075630253</v>
      </c>
      <c r="G650" s="2">
        <v>1990</v>
      </c>
      <c r="H650" s="1">
        <f t="shared" si="27"/>
        <v>1596.6386554621849</v>
      </c>
      <c r="I650" s="2">
        <v>1900</v>
      </c>
      <c r="J650" s="15" t="s">
        <v>34</v>
      </c>
      <c r="K650" s="16">
        <v>44789</v>
      </c>
      <c r="L650" s="18">
        <v>36</v>
      </c>
    </row>
    <row r="651" spans="1:12" x14ac:dyDescent="0.2">
      <c r="A651" s="8">
        <v>7804681160007</v>
      </c>
      <c r="B651" s="12" t="s">
        <v>470</v>
      </c>
      <c r="C651" s="13">
        <v>24</v>
      </c>
      <c r="D651" s="14" t="s">
        <v>50</v>
      </c>
      <c r="E651" s="1">
        <v>1135</v>
      </c>
      <c r="F651" s="1">
        <f t="shared" si="26"/>
        <v>1428.5714285714287</v>
      </c>
      <c r="G651" s="1">
        <v>1700</v>
      </c>
      <c r="H651" s="1">
        <f t="shared" si="27"/>
        <v>1344.5378151260504</v>
      </c>
      <c r="I651" s="1">
        <v>1600</v>
      </c>
      <c r="J651" s="18" t="s">
        <v>471</v>
      </c>
      <c r="K651" s="16">
        <v>45143</v>
      </c>
      <c r="L651" s="18">
        <v>48</v>
      </c>
    </row>
    <row r="652" spans="1:12" x14ac:dyDescent="0.2">
      <c r="A652" s="8">
        <v>78026025</v>
      </c>
      <c r="B652" s="15" t="s">
        <v>387</v>
      </c>
      <c r="C652" s="13">
        <v>12</v>
      </c>
      <c r="D652" s="14" t="s">
        <v>50</v>
      </c>
      <c r="E652" s="1">
        <v>800</v>
      </c>
      <c r="F652" s="1">
        <f t="shared" si="26"/>
        <v>1260.5042016806724</v>
      </c>
      <c r="G652" s="1">
        <v>1500</v>
      </c>
      <c r="H652" s="1">
        <f t="shared" si="27"/>
        <v>1260.5042016806724</v>
      </c>
      <c r="I652" s="1">
        <v>1500</v>
      </c>
      <c r="J652" s="18" t="s">
        <v>474</v>
      </c>
      <c r="K652" s="16">
        <v>45124</v>
      </c>
      <c r="L652" s="18">
        <v>36</v>
      </c>
    </row>
    <row r="653" spans="1:12" x14ac:dyDescent="0.2">
      <c r="A653" s="8">
        <v>78026032</v>
      </c>
      <c r="B653" s="15" t="s">
        <v>388</v>
      </c>
      <c r="C653" s="8">
        <v>12</v>
      </c>
      <c r="D653" s="8" t="s">
        <v>50</v>
      </c>
      <c r="E653" s="8">
        <v>800</v>
      </c>
      <c r="F653" s="1">
        <f t="shared" si="26"/>
        <v>1260.5042016806724</v>
      </c>
      <c r="G653" s="1">
        <v>1500</v>
      </c>
      <c r="H653" s="1">
        <f t="shared" si="27"/>
        <v>1260.5042016806724</v>
      </c>
      <c r="I653" s="1">
        <v>1500</v>
      </c>
      <c r="J653" s="18" t="s">
        <v>474</v>
      </c>
      <c r="K653" s="16">
        <v>45124</v>
      </c>
      <c r="L653" s="18">
        <v>59</v>
      </c>
    </row>
    <row r="654" spans="1:12" x14ac:dyDescent="0.2">
      <c r="A654" s="8">
        <v>7702626204642</v>
      </c>
      <c r="B654" s="20" t="s">
        <v>141</v>
      </c>
      <c r="C654" s="13">
        <v>12</v>
      </c>
      <c r="D654" s="14" t="s">
        <v>50</v>
      </c>
      <c r="E654" s="2">
        <f>(300/1.19)*12</f>
        <v>3025.2100840336134</v>
      </c>
      <c r="F654" s="1">
        <f t="shared" si="26"/>
        <v>4042.0168067226891</v>
      </c>
      <c r="G654" s="2">
        <v>4810</v>
      </c>
      <c r="H654" s="1">
        <f t="shared" si="27"/>
        <v>3890.7563025210084</v>
      </c>
      <c r="I654" s="2">
        <v>4630</v>
      </c>
      <c r="J654" s="18" t="s">
        <v>19</v>
      </c>
      <c r="K654" s="16">
        <v>45124</v>
      </c>
      <c r="L654" s="18">
        <v>60</v>
      </c>
    </row>
    <row r="655" spans="1:12" x14ac:dyDescent="0.2">
      <c r="A655" s="8">
        <v>7702626204208</v>
      </c>
      <c r="B655" s="20" t="s">
        <v>142</v>
      </c>
      <c r="C655" s="13">
        <v>12</v>
      </c>
      <c r="D655" s="14" t="s">
        <v>50</v>
      </c>
      <c r="E655" s="2">
        <f>(300/1.19)*12</f>
        <v>3025.2100840336134</v>
      </c>
      <c r="F655" s="1">
        <f t="shared" si="26"/>
        <v>4042.0168067226891</v>
      </c>
      <c r="G655" s="2">
        <v>4810</v>
      </c>
      <c r="H655" s="1">
        <f t="shared" si="27"/>
        <v>3890.7563025210084</v>
      </c>
      <c r="I655" s="2">
        <v>4630</v>
      </c>
      <c r="J655" s="18" t="s">
        <v>19</v>
      </c>
      <c r="K655" s="16">
        <v>45124</v>
      </c>
      <c r="L655" s="18">
        <v>52</v>
      </c>
    </row>
    <row r="656" spans="1:12" x14ac:dyDescent="0.2">
      <c r="A656" s="9">
        <v>7808304316628</v>
      </c>
      <c r="B656" s="12" t="s">
        <v>584</v>
      </c>
      <c r="C656" s="13">
        <v>24</v>
      </c>
      <c r="D656" s="14" t="s">
        <v>50</v>
      </c>
      <c r="E656" s="2">
        <f>1000/1.19</f>
        <v>840.3361344537816</v>
      </c>
      <c r="F656" s="1">
        <f t="shared" si="26"/>
        <v>1210.0840336134454</v>
      </c>
      <c r="G656" s="2">
        <v>1440</v>
      </c>
      <c r="H656" s="1">
        <f t="shared" si="27"/>
        <v>1159.6638655462186</v>
      </c>
      <c r="I656" s="2">
        <v>1380</v>
      </c>
      <c r="J656" s="18" t="s">
        <v>547</v>
      </c>
      <c r="K656" s="16">
        <v>45357</v>
      </c>
      <c r="L656" s="18">
        <v>29</v>
      </c>
    </row>
    <row r="657" spans="1:12" x14ac:dyDescent="0.2">
      <c r="A657" s="22">
        <v>3894143695462</v>
      </c>
      <c r="B657" s="12" t="s">
        <v>95</v>
      </c>
      <c r="C657" s="13">
        <v>40</v>
      </c>
      <c r="D657" s="14" t="s">
        <v>50</v>
      </c>
      <c r="E657" s="2">
        <f>1194/1.19</f>
        <v>1003.3613445378152</v>
      </c>
      <c r="F657" s="1">
        <f t="shared" si="26"/>
        <v>1310.9243697478992</v>
      </c>
      <c r="G657" s="2">
        <v>1560</v>
      </c>
      <c r="H657" s="1">
        <f t="shared" si="27"/>
        <v>1260.5042016806724</v>
      </c>
      <c r="I657" s="2">
        <v>1500</v>
      </c>
      <c r="J657" s="18" t="s">
        <v>89</v>
      </c>
      <c r="K657" s="16">
        <v>44712</v>
      </c>
      <c r="L657" s="18">
        <v>364</v>
      </c>
    </row>
    <row r="658" spans="1:12" x14ac:dyDescent="0.2">
      <c r="A658" s="9">
        <v>7808304316291</v>
      </c>
      <c r="B658" s="12" t="s">
        <v>583</v>
      </c>
      <c r="C658" s="13">
        <v>24</v>
      </c>
      <c r="D658" s="14" t="s">
        <v>50</v>
      </c>
      <c r="E658" s="2">
        <f>730/1.19</f>
        <v>613.44537815126057</v>
      </c>
      <c r="F658" s="1">
        <f t="shared" si="26"/>
        <v>924.36974789915973</v>
      </c>
      <c r="G658" s="2">
        <v>1100</v>
      </c>
      <c r="H658" s="1">
        <f t="shared" si="27"/>
        <v>882.35294117647061</v>
      </c>
      <c r="I658" s="2">
        <v>1050</v>
      </c>
      <c r="J658" s="18" t="s">
        <v>547</v>
      </c>
      <c r="K658" s="16">
        <v>45357</v>
      </c>
      <c r="L658" s="18">
        <v>96</v>
      </c>
    </row>
    <row r="659" spans="1:12" x14ac:dyDescent="0.2">
      <c r="A659" s="22">
        <v>3894143695455</v>
      </c>
      <c r="B659" s="12" t="s">
        <v>94</v>
      </c>
      <c r="C659" s="13">
        <v>40</v>
      </c>
      <c r="D659" s="14" t="s">
        <v>50</v>
      </c>
      <c r="E659" s="2">
        <f>697/1.19</f>
        <v>585.71428571428578</v>
      </c>
      <c r="F659" s="1">
        <f t="shared" si="26"/>
        <v>773.10924369747897</v>
      </c>
      <c r="G659" s="2">
        <v>920</v>
      </c>
      <c r="H659" s="1">
        <f t="shared" si="27"/>
        <v>739.49579831932772</v>
      </c>
      <c r="I659" s="2">
        <v>880</v>
      </c>
      <c r="J659" s="18" t="s">
        <v>89</v>
      </c>
      <c r="K659" s="16">
        <v>44790</v>
      </c>
      <c r="L659" s="18">
        <v>478</v>
      </c>
    </row>
    <row r="660" spans="1:12" x14ac:dyDescent="0.2">
      <c r="A660" s="8">
        <v>6933780148706</v>
      </c>
      <c r="B660" s="20" t="s">
        <v>333</v>
      </c>
      <c r="C660" s="13">
        <v>1</v>
      </c>
      <c r="D660" s="14" t="s">
        <v>50</v>
      </c>
      <c r="E660" s="2">
        <v>631</v>
      </c>
      <c r="F660" s="1">
        <f t="shared" si="26"/>
        <v>840.3361344537816</v>
      </c>
      <c r="G660" s="2">
        <v>1000</v>
      </c>
      <c r="H660" s="1">
        <f t="shared" si="27"/>
        <v>806.72268907563034</v>
      </c>
      <c r="I660" s="2">
        <v>960</v>
      </c>
      <c r="J660" s="18" t="s">
        <v>16</v>
      </c>
      <c r="K660" s="16">
        <v>45355</v>
      </c>
      <c r="L660" s="18">
        <v>3</v>
      </c>
    </row>
    <row r="661" spans="1:12" x14ac:dyDescent="0.2">
      <c r="A661" s="8">
        <v>7802351000585</v>
      </c>
      <c r="B661" s="20" t="s">
        <v>334</v>
      </c>
      <c r="C661" s="13">
        <v>1</v>
      </c>
      <c r="D661" s="14" t="s">
        <v>50</v>
      </c>
      <c r="E661" s="2">
        <v>1127</v>
      </c>
      <c r="F661" s="1">
        <f t="shared" si="26"/>
        <v>1621.8487394957983</v>
      </c>
      <c r="G661" s="2">
        <v>1930</v>
      </c>
      <c r="H661" s="1">
        <f t="shared" si="27"/>
        <v>1554.6218487394958</v>
      </c>
      <c r="I661" s="2">
        <v>1850</v>
      </c>
      <c r="J661" s="18" t="s">
        <v>24</v>
      </c>
      <c r="K661" s="16">
        <v>45355</v>
      </c>
      <c r="L661" s="18">
        <v>3</v>
      </c>
    </row>
    <row r="662" spans="1:12" x14ac:dyDescent="0.2">
      <c r="A662" s="8">
        <v>7802351524708</v>
      </c>
      <c r="B662" s="12" t="s">
        <v>586</v>
      </c>
      <c r="C662" s="13">
        <v>1</v>
      </c>
      <c r="D662" s="14" t="s">
        <v>50</v>
      </c>
      <c r="E662" s="2">
        <v>860</v>
      </c>
      <c r="F662" s="1">
        <f t="shared" si="26"/>
        <v>1235.2941176470588</v>
      </c>
      <c r="G662" s="2">
        <v>1470</v>
      </c>
      <c r="H662" s="1">
        <f t="shared" si="27"/>
        <v>1176.4705882352941</v>
      </c>
      <c r="I662" s="2">
        <v>1400</v>
      </c>
      <c r="J662" s="18" t="s">
        <v>24</v>
      </c>
      <c r="K662" s="16">
        <v>45355</v>
      </c>
      <c r="L662" s="18">
        <v>4</v>
      </c>
    </row>
    <row r="663" spans="1:12" x14ac:dyDescent="0.2">
      <c r="A663" s="9">
        <v>7802351524609</v>
      </c>
      <c r="B663" s="12" t="s">
        <v>335</v>
      </c>
      <c r="C663" s="13">
        <v>1</v>
      </c>
      <c r="D663" s="14" t="s">
        <v>50</v>
      </c>
      <c r="E663" s="2">
        <v>429</v>
      </c>
      <c r="F663" s="1">
        <f t="shared" si="26"/>
        <v>621.84873949579833</v>
      </c>
      <c r="G663" s="2">
        <v>740</v>
      </c>
      <c r="H663" s="1">
        <f t="shared" si="27"/>
        <v>588.23529411764707</v>
      </c>
      <c r="I663" s="2">
        <v>700</v>
      </c>
      <c r="J663" s="18" t="s">
        <v>24</v>
      </c>
      <c r="K663" s="16">
        <v>45152</v>
      </c>
      <c r="L663" s="18">
        <v>4</v>
      </c>
    </row>
    <row r="664" spans="1:12" x14ac:dyDescent="0.2">
      <c r="A664" s="8" t="s">
        <v>60</v>
      </c>
      <c r="B664" s="20" t="s">
        <v>41</v>
      </c>
      <c r="C664" s="13">
        <v>1</v>
      </c>
      <c r="D664" s="14" t="s">
        <v>50</v>
      </c>
      <c r="E664" s="2">
        <f>280/1.19</f>
        <v>235.29411764705884</v>
      </c>
      <c r="F664" s="1">
        <f t="shared" si="26"/>
        <v>319.32773109243698</v>
      </c>
      <c r="G664" s="2">
        <v>380</v>
      </c>
      <c r="H664" s="1">
        <f t="shared" si="27"/>
        <v>294.11764705882354</v>
      </c>
      <c r="I664" s="2">
        <v>350</v>
      </c>
      <c r="J664" s="18" t="s">
        <v>19</v>
      </c>
      <c r="K664" s="16">
        <v>44655</v>
      </c>
      <c r="L664" s="18">
        <v>1034</v>
      </c>
    </row>
    <row r="665" spans="1:12" x14ac:dyDescent="0.2">
      <c r="A665" s="8" t="s">
        <v>61</v>
      </c>
      <c r="B665" s="20" t="s">
        <v>134</v>
      </c>
      <c r="C665" s="13">
        <v>25</v>
      </c>
      <c r="D665" s="14" t="s">
        <v>50</v>
      </c>
      <c r="E665" s="2">
        <f>80/1.19</f>
        <v>67.226890756302524</v>
      </c>
      <c r="F665" s="1">
        <f t="shared" si="26"/>
        <v>109.24369747899161</v>
      </c>
      <c r="G665" s="2">
        <v>130</v>
      </c>
      <c r="H665" s="1">
        <f t="shared" si="27"/>
        <v>109.24369747899161</v>
      </c>
      <c r="I665" s="2">
        <v>130</v>
      </c>
      <c r="J665" s="18" t="s">
        <v>19</v>
      </c>
      <c r="K665" s="16">
        <v>44356</v>
      </c>
      <c r="L665" s="18">
        <v>42</v>
      </c>
    </row>
    <row r="666" spans="1:12" x14ac:dyDescent="0.2">
      <c r="A666" s="8">
        <v>7805020010038</v>
      </c>
      <c r="B666" s="20" t="s">
        <v>336</v>
      </c>
      <c r="C666" s="13">
        <v>12</v>
      </c>
      <c r="D666" s="14" t="s">
        <v>50</v>
      </c>
      <c r="E666" s="2">
        <f>27368/12</f>
        <v>2280.6666666666665</v>
      </c>
      <c r="F666" s="1">
        <f t="shared" si="26"/>
        <v>3050.4201680672272</v>
      </c>
      <c r="G666" s="2">
        <v>3630</v>
      </c>
      <c r="H666" s="1">
        <f t="shared" si="27"/>
        <v>2932.7731092436975</v>
      </c>
      <c r="I666" s="2">
        <v>3490</v>
      </c>
      <c r="J666" s="18" t="s">
        <v>17</v>
      </c>
      <c r="K666" s="16">
        <v>45044</v>
      </c>
      <c r="L666" s="18">
        <v>225</v>
      </c>
    </row>
    <row r="667" spans="1:12" x14ac:dyDescent="0.2">
      <c r="A667" s="8" t="s">
        <v>52</v>
      </c>
      <c r="B667" s="20" t="s">
        <v>337</v>
      </c>
      <c r="C667" s="13">
        <v>1</v>
      </c>
      <c r="D667" s="14" t="s">
        <v>50</v>
      </c>
      <c r="E667" s="2">
        <f>(2280/1.19)/25</f>
        <v>76.638655462184886</v>
      </c>
      <c r="F667" s="1">
        <f t="shared" si="26"/>
        <v>100.84033613445379</v>
      </c>
      <c r="G667" s="2">
        <v>120</v>
      </c>
      <c r="H667" s="1">
        <f t="shared" si="27"/>
        <v>100.84033613445379</v>
      </c>
      <c r="I667" s="2">
        <v>120</v>
      </c>
      <c r="J667" s="18" t="s">
        <v>19</v>
      </c>
      <c r="K667" s="16">
        <v>44468</v>
      </c>
      <c r="L667" s="18">
        <v>150</v>
      </c>
    </row>
    <row r="668" spans="1:12" x14ac:dyDescent="0.2">
      <c r="A668" s="8" t="s">
        <v>80</v>
      </c>
      <c r="B668" s="20" t="s">
        <v>338</v>
      </c>
      <c r="C668" s="13">
        <v>25</v>
      </c>
      <c r="D668" s="14" t="s">
        <v>50</v>
      </c>
      <c r="E668" s="2">
        <f>2280/1.19</f>
        <v>1915.966386554622</v>
      </c>
      <c r="F668" s="1">
        <f t="shared" si="26"/>
        <v>2260.5042016806724</v>
      </c>
      <c r="G668" s="2">
        <v>2690</v>
      </c>
      <c r="H668" s="1">
        <f t="shared" si="27"/>
        <v>2260.5042016806724</v>
      </c>
      <c r="I668" s="2">
        <v>2690</v>
      </c>
      <c r="J668" s="18" t="s">
        <v>19</v>
      </c>
      <c r="K668" s="16">
        <v>44655</v>
      </c>
      <c r="L668" s="18">
        <v>150</v>
      </c>
    </row>
    <row r="669" spans="1:12" x14ac:dyDescent="0.2">
      <c r="A669" s="8" t="s">
        <v>37</v>
      </c>
      <c r="B669" s="20" t="s">
        <v>135</v>
      </c>
      <c r="C669" s="13">
        <v>1</v>
      </c>
      <c r="D669" s="14" t="s">
        <v>50</v>
      </c>
      <c r="E669" s="2">
        <f>90/1.19</f>
        <v>75.630252100840337</v>
      </c>
      <c r="F669" s="1">
        <f t="shared" si="26"/>
        <v>126.05042016806723</v>
      </c>
      <c r="G669" s="2">
        <v>150</v>
      </c>
      <c r="H669" s="1">
        <f t="shared" si="27"/>
        <v>117.64705882352942</v>
      </c>
      <c r="I669" s="2">
        <v>140</v>
      </c>
      <c r="J669" s="18" t="s">
        <v>19</v>
      </c>
      <c r="K669" s="16">
        <v>44655</v>
      </c>
      <c r="L669" s="18">
        <v>24</v>
      </c>
    </row>
    <row r="670" spans="1:12" x14ac:dyDescent="0.2">
      <c r="A670" s="8" t="s">
        <v>81</v>
      </c>
      <c r="B670" s="20" t="s">
        <v>83</v>
      </c>
      <c r="C670" s="13">
        <v>50</v>
      </c>
      <c r="D670" s="14" t="s">
        <v>50</v>
      </c>
      <c r="E670" s="2">
        <f>1890/25</f>
        <v>75.599999999999994</v>
      </c>
      <c r="F670" s="1">
        <f t="shared" si="26"/>
        <v>100.84033613445379</v>
      </c>
      <c r="G670" s="2">
        <v>120</v>
      </c>
      <c r="H670" s="1">
        <f t="shared" si="27"/>
        <v>100.84033613445379</v>
      </c>
      <c r="I670" s="2">
        <v>120</v>
      </c>
      <c r="J670" s="18" t="s">
        <v>19</v>
      </c>
      <c r="K670" s="16">
        <v>44468</v>
      </c>
      <c r="L670" s="18">
        <v>1119</v>
      </c>
    </row>
    <row r="671" spans="1:12" x14ac:dyDescent="0.2">
      <c r="A671" s="9" t="s">
        <v>55</v>
      </c>
      <c r="B671" s="20" t="s">
        <v>149</v>
      </c>
      <c r="C671" s="13">
        <v>25</v>
      </c>
      <c r="D671" s="14" t="s">
        <v>50</v>
      </c>
      <c r="E671" s="2">
        <v>1890</v>
      </c>
      <c r="F671" s="1">
        <f t="shared" si="26"/>
        <v>2260.5042016806724</v>
      </c>
      <c r="G671" s="2">
        <v>2690</v>
      </c>
      <c r="H671" s="1">
        <f t="shared" si="27"/>
        <v>2260.5042016806724</v>
      </c>
      <c r="I671" s="2">
        <v>2690</v>
      </c>
      <c r="J671" s="18" t="s">
        <v>19</v>
      </c>
      <c r="K671" s="16">
        <v>44468</v>
      </c>
      <c r="L671" s="18">
        <v>20</v>
      </c>
    </row>
    <row r="672" spans="1:12" x14ac:dyDescent="0.2">
      <c r="A672" s="8" t="s">
        <v>5</v>
      </c>
      <c r="B672" s="20" t="s">
        <v>143</v>
      </c>
      <c r="C672" s="13">
        <v>25</v>
      </c>
      <c r="D672" s="14" t="s">
        <v>50</v>
      </c>
      <c r="E672" s="2">
        <f>260/1.19</f>
        <v>218.48739495798321</v>
      </c>
      <c r="F672" s="1">
        <f t="shared" si="26"/>
        <v>386.55462184873949</v>
      </c>
      <c r="G672" s="2">
        <v>460</v>
      </c>
      <c r="H672" s="1">
        <f t="shared" si="27"/>
        <v>369.74789915966386</v>
      </c>
      <c r="I672" s="2">
        <v>440</v>
      </c>
      <c r="J672" s="18" t="s">
        <v>19</v>
      </c>
      <c r="K672" s="16">
        <v>44743</v>
      </c>
      <c r="L672" s="18">
        <v>237</v>
      </c>
    </row>
    <row r="673" spans="1:12" x14ac:dyDescent="0.2">
      <c r="A673" s="8">
        <v>7805054002061</v>
      </c>
      <c r="B673" s="20" t="s">
        <v>144</v>
      </c>
      <c r="C673" s="13">
        <v>1</v>
      </c>
      <c r="D673" s="14" t="s">
        <v>50</v>
      </c>
      <c r="E673" s="2">
        <f>260/1.19</f>
        <v>218.48739495798321</v>
      </c>
      <c r="F673" s="1">
        <f t="shared" si="26"/>
        <v>386.55462184873949</v>
      </c>
      <c r="G673" s="2">
        <v>460</v>
      </c>
      <c r="H673" s="1">
        <f t="shared" si="27"/>
        <v>369.74789915966386</v>
      </c>
      <c r="I673" s="2">
        <v>440</v>
      </c>
      <c r="J673" s="18" t="s">
        <v>19</v>
      </c>
      <c r="K673" s="16">
        <v>44743</v>
      </c>
      <c r="L673" s="18">
        <v>30</v>
      </c>
    </row>
    <row r="674" spans="1:12" x14ac:dyDescent="0.2">
      <c r="A674" s="8">
        <v>7792710006450</v>
      </c>
      <c r="B674" s="20" t="s">
        <v>76</v>
      </c>
      <c r="C674" s="25">
        <v>10</v>
      </c>
      <c r="D674" s="14" t="s">
        <v>50</v>
      </c>
      <c r="E674" s="2">
        <f>(14988/1.19)/10</f>
        <v>1259.4957983193278</v>
      </c>
      <c r="F674" s="1">
        <f t="shared" si="26"/>
        <v>1663.8655462184875</v>
      </c>
      <c r="G674" s="2">
        <v>1980</v>
      </c>
      <c r="H674" s="1">
        <f t="shared" si="27"/>
        <v>1596.6386554621849</v>
      </c>
      <c r="I674" s="2">
        <v>1900</v>
      </c>
      <c r="J674" s="18" t="s">
        <v>77</v>
      </c>
      <c r="K674" s="16">
        <v>44431</v>
      </c>
      <c r="L674" s="18">
        <v>48</v>
      </c>
    </row>
    <row r="675" spans="1:12" x14ac:dyDescent="0.2">
      <c r="A675" s="8">
        <v>7804608222382</v>
      </c>
      <c r="B675" s="19" t="s">
        <v>103</v>
      </c>
      <c r="C675" s="13">
        <v>20</v>
      </c>
      <c r="D675" s="14" t="s">
        <v>50</v>
      </c>
      <c r="E675" s="2">
        <v>793</v>
      </c>
      <c r="F675" s="1">
        <f t="shared" si="26"/>
        <v>504.20168067226894</v>
      </c>
      <c r="G675" s="2">
        <v>600</v>
      </c>
      <c r="H675" s="1">
        <f t="shared" si="27"/>
        <v>504.20168067226894</v>
      </c>
      <c r="I675" s="2">
        <v>600</v>
      </c>
      <c r="J675" s="18" t="s">
        <v>101</v>
      </c>
      <c r="K675" s="16">
        <v>44657</v>
      </c>
      <c r="L675" s="18">
        <v>35</v>
      </c>
    </row>
    <row r="676" spans="1:12" x14ac:dyDescent="0.2">
      <c r="A676" s="8">
        <v>7804608222399</v>
      </c>
      <c r="B676" s="19" t="s">
        <v>102</v>
      </c>
      <c r="C676" s="13">
        <v>20</v>
      </c>
      <c r="D676" s="14" t="s">
        <v>50</v>
      </c>
      <c r="E676" s="2">
        <v>1218</v>
      </c>
      <c r="F676" s="1">
        <f t="shared" si="26"/>
        <v>756.30252100840335</v>
      </c>
      <c r="G676" s="2">
        <v>900</v>
      </c>
      <c r="H676" s="1">
        <f t="shared" si="27"/>
        <v>756.30252100840335</v>
      </c>
      <c r="I676" s="2">
        <v>900</v>
      </c>
      <c r="J676" s="18" t="s">
        <v>101</v>
      </c>
      <c r="K676" s="16">
        <v>44657</v>
      </c>
      <c r="L676" s="18">
        <v>40</v>
      </c>
    </row>
    <row r="677" spans="1:12" x14ac:dyDescent="0.2">
      <c r="A677" s="9">
        <v>7802800579594</v>
      </c>
      <c r="B677" s="12" t="s">
        <v>463</v>
      </c>
      <c r="C677" s="13">
        <v>10</v>
      </c>
      <c r="D677" s="14" t="s">
        <v>50</v>
      </c>
      <c r="E677" s="2">
        <f>1152/10</f>
        <v>115.2</v>
      </c>
      <c r="F677" s="1">
        <f t="shared" si="26"/>
        <v>168.0672268907563</v>
      </c>
      <c r="G677" s="2">
        <v>200</v>
      </c>
      <c r="H677" s="1">
        <f t="shared" si="27"/>
        <v>168.0672268907563</v>
      </c>
      <c r="I677" s="2">
        <v>200</v>
      </c>
      <c r="J677" s="18" t="s">
        <v>30</v>
      </c>
      <c r="K677" s="16">
        <v>45278</v>
      </c>
      <c r="L677" s="18">
        <v>32</v>
      </c>
    </row>
    <row r="678" spans="1:12" x14ac:dyDescent="0.2">
      <c r="A678" s="9">
        <v>7802800579549</v>
      </c>
      <c r="B678" s="12" t="s">
        <v>47</v>
      </c>
      <c r="C678" s="13">
        <v>10</v>
      </c>
      <c r="D678" s="14" t="s">
        <v>50</v>
      </c>
      <c r="E678" s="2">
        <f>1066/10</f>
        <v>106.6</v>
      </c>
      <c r="F678" s="1">
        <f t="shared" si="26"/>
        <v>168.0672268907563</v>
      </c>
      <c r="G678" s="2">
        <v>200</v>
      </c>
      <c r="H678" s="1">
        <f t="shared" si="27"/>
        <v>168.0672268907563</v>
      </c>
      <c r="I678" s="2">
        <v>200</v>
      </c>
      <c r="J678" s="18" t="s">
        <v>30</v>
      </c>
      <c r="K678" s="16">
        <v>45107</v>
      </c>
      <c r="L678" s="18">
        <v>35</v>
      </c>
    </row>
    <row r="679" spans="1:12" x14ac:dyDescent="0.2">
      <c r="A679" s="9">
        <v>7802800570799</v>
      </c>
      <c r="B679" s="12" t="s">
        <v>96</v>
      </c>
      <c r="C679" s="13">
        <v>10</v>
      </c>
      <c r="D679" s="14" t="s">
        <v>50</v>
      </c>
      <c r="E679" s="2">
        <f>1187/10</f>
        <v>118.7</v>
      </c>
      <c r="F679" s="1">
        <f t="shared" si="26"/>
        <v>168.0672268907563</v>
      </c>
      <c r="G679" s="2">
        <v>200</v>
      </c>
      <c r="H679" s="1">
        <f t="shared" si="27"/>
        <v>168.0672268907563</v>
      </c>
      <c r="I679" s="2">
        <v>200</v>
      </c>
      <c r="J679" s="18" t="s">
        <v>30</v>
      </c>
      <c r="K679" s="16">
        <v>44634</v>
      </c>
      <c r="L679" s="18">
        <v>1</v>
      </c>
    </row>
    <row r="680" spans="1:12" x14ac:dyDescent="0.2">
      <c r="A680" s="9">
        <v>7802800578917</v>
      </c>
      <c r="B680" s="12" t="s">
        <v>97</v>
      </c>
      <c r="C680" s="13">
        <v>10</v>
      </c>
      <c r="D680" s="14" t="s">
        <v>50</v>
      </c>
      <c r="E680" s="2">
        <f>1066/10</f>
        <v>106.6</v>
      </c>
      <c r="F680" s="1">
        <f t="shared" si="26"/>
        <v>168.0672268907563</v>
      </c>
      <c r="G680" s="2">
        <v>200</v>
      </c>
      <c r="H680" s="1">
        <f t="shared" si="27"/>
        <v>168.0672268907563</v>
      </c>
      <c r="I680" s="2">
        <v>200</v>
      </c>
      <c r="J680" s="18" t="s">
        <v>30</v>
      </c>
      <c r="K680" s="16">
        <v>45107</v>
      </c>
      <c r="L680" s="18">
        <v>32</v>
      </c>
    </row>
    <row r="681" spans="1:12" x14ac:dyDescent="0.2">
      <c r="A681" s="9">
        <v>7802800578542</v>
      </c>
      <c r="B681" s="12" t="s">
        <v>756</v>
      </c>
      <c r="C681" s="13">
        <v>10</v>
      </c>
      <c r="D681" s="14" t="s">
        <v>50</v>
      </c>
      <c r="E681" s="2">
        <v>107</v>
      </c>
      <c r="F681" s="1">
        <f t="shared" si="26"/>
        <v>168.0672268907563</v>
      </c>
      <c r="G681" s="2">
        <v>200</v>
      </c>
      <c r="H681" s="1">
        <f t="shared" si="27"/>
        <v>168.0672268907563</v>
      </c>
      <c r="I681" s="2">
        <v>200</v>
      </c>
      <c r="J681" s="18" t="s">
        <v>30</v>
      </c>
      <c r="K681" s="16">
        <v>45107</v>
      </c>
      <c r="L681" s="18">
        <v>47</v>
      </c>
    </row>
    <row r="682" spans="1:12" x14ac:dyDescent="0.2">
      <c r="A682" s="9">
        <v>7802800578870</v>
      </c>
      <c r="B682" s="12" t="s">
        <v>111</v>
      </c>
      <c r="C682" s="13">
        <v>10</v>
      </c>
      <c r="D682" s="14" t="s">
        <v>50</v>
      </c>
      <c r="E682" s="2">
        <f>1066/10</f>
        <v>106.6</v>
      </c>
      <c r="F682" s="1">
        <f t="shared" si="26"/>
        <v>168.0672268907563</v>
      </c>
      <c r="G682" s="2">
        <v>200</v>
      </c>
      <c r="H682" s="1">
        <f t="shared" si="27"/>
        <v>168.0672268907563</v>
      </c>
      <c r="I682" s="2">
        <v>200</v>
      </c>
      <c r="J682" s="18" t="s">
        <v>30</v>
      </c>
      <c r="K682" s="16">
        <v>45107</v>
      </c>
      <c r="L682" s="18">
        <v>34</v>
      </c>
    </row>
    <row r="683" spans="1:12" x14ac:dyDescent="0.2">
      <c r="A683" s="9">
        <v>7802800579600</v>
      </c>
      <c r="B683" s="12" t="s">
        <v>46</v>
      </c>
      <c r="C683" s="13">
        <v>10</v>
      </c>
      <c r="D683" s="14" t="s">
        <v>50</v>
      </c>
      <c r="E683" s="2">
        <f>1066/10</f>
        <v>106.6</v>
      </c>
      <c r="F683" s="1">
        <f t="shared" si="26"/>
        <v>168.0672268907563</v>
      </c>
      <c r="G683" s="2">
        <v>200</v>
      </c>
      <c r="H683" s="1">
        <f t="shared" si="27"/>
        <v>168.0672268907563</v>
      </c>
      <c r="I683" s="2">
        <v>200</v>
      </c>
      <c r="J683" s="18" t="s">
        <v>30</v>
      </c>
      <c r="K683" s="16">
        <v>45107</v>
      </c>
      <c r="L683" s="18">
        <v>46</v>
      </c>
    </row>
    <row r="684" spans="1:12" x14ac:dyDescent="0.2">
      <c r="A684" s="9">
        <v>7802800579525</v>
      </c>
      <c r="B684" s="12" t="s">
        <v>462</v>
      </c>
      <c r="C684" s="13">
        <v>10</v>
      </c>
      <c r="D684" s="14" t="s">
        <v>50</v>
      </c>
      <c r="E684" s="2">
        <f>1066/10</f>
        <v>106.6</v>
      </c>
      <c r="F684" s="1">
        <f t="shared" si="26"/>
        <v>168.0672268907563</v>
      </c>
      <c r="G684" s="2">
        <v>200</v>
      </c>
      <c r="H684" s="1">
        <f t="shared" si="27"/>
        <v>168.0672268907563</v>
      </c>
      <c r="I684" s="2">
        <v>200</v>
      </c>
      <c r="J684" s="18" t="s">
        <v>30</v>
      </c>
      <c r="K684" s="16">
        <v>45072</v>
      </c>
      <c r="L684" s="18">
        <v>3</v>
      </c>
    </row>
    <row r="685" spans="1:12" x14ac:dyDescent="0.2">
      <c r="L685" s="17">
        <f>SUM(L2:L684)</f>
        <v>67104</v>
      </c>
    </row>
    <row r="690" spans="2:2" x14ac:dyDescent="0.2">
      <c r="B690" s="51" t="s">
        <v>3</v>
      </c>
    </row>
  </sheetData>
  <autoFilter ref="A1:T684" xr:uid="{00000000-0001-0000-0000-000000000000}">
    <sortState xmlns:xlrd2="http://schemas.microsoft.com/office/spreadsheetml/2017/richdata2" ref="A41:L51">
      <sortCondition ref="B1:B684"/>
    </sortState>
  </autoFilter>
  <pageMargins left="0.25" right="0.25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 LOS PROVEEDORES-GENERAL</vt:lpstr>
      <vt:lpstr>'TODOS LOS PROVEEDORES-GENERAL'!Área_de_impresión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Mora</dc:creator>
  <cp:lastModifiedBy>myriam valdés maraboli</cp:lastModifiedBy>
  <cp:lastPrinted>2024-08-02T20:51:45Z</cp:lastPrinted>
  <dcterms:created xsi:type="dcterms:W3CDTF">2015-08-19T20:49:46Z</dcterms:created>
  <dcterms:modified xsi:type="dcterms:W3CDTF">2024-08-03T22:47:02Z</dcterms:modified>
</cp:coreProperties>
</file>